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715" windowHeight="11325" tabRatio="750"/>
  </bookViews>
  <sheets>
    <sheet name="SCI-SFPO" sheetId="1" r:id="rId1"/>
    <sheet name="Dolus " sheetId="4" r:id="rId2"/>
    <sheet name="La Josière" sheetId="5" r:id="rId3"/>
    <sheet name="Massé " sheetId="6" r:id="rId4"/>
    <sheet name="Badou " sheetId="7" r:id="rId5"/>
    <sheet name="chiffre d'affaires" sheetId="2" r:id="rId6"/>
    <sheet name="comparaison des productions" sheetId="8" r:id="rId7"/>
    <sheet name="comparaison décembre 2024" sheetId="9" r:id="rId8"/>
    <sheet name="comparaison janvier 2025" sheetId="10" r:id="rId9"/>
  </sheets>
  <calcPr calcId="145621"/>
</workbook>
</file>

<file path=xl/calcChain.xml><?xml version="1.0" encoding="utf-8"?>
<calcChain xmlns="http://schemas.openxmlformats.org/spreadsheetml/2006/main">
  <c r="B28" i="2" l="1"/>
  <c r="B27" i="2"/>
  <c r="B26" i="2"/>
  <c r="N26" i="2" s="1"/>
  <c r="M27" i="2"/>
  <c r="L27" i="2"/>
  <c r="K27" i="2"/>
  <c r="J27" i="2"/>
  <c r="I27" i="2"/>
  <c r="H27" i="2"/>
  <c r="G27" i="2"/>
  <c r="F27" i="2"/>
  <c r="E27" i="2"/>
  <c r="D27" i="2"/>
  <c r="C27" i="2"/>
  <c r="N24" i="7"/>
  <c r="B24" i="7"/>
  <c r="B25" i="7" s="1"/>
  <c r="B23" i="7"/>
  <c r="N23" i="7" s="1"/>
  <c r="N22" i="7"/>
  <c r="B24" i="6"/>
  <c r="B25" i="6" s="1"/>
  <c r="B23" i="6"/>
  <c r="N22" i="6"/>
  <c r="N24" i="5"/>
  <c r="B24" i="5"/>
  <c r="B25" i="5" s="1"/>
  <c r="B23" i="5"/>
  <c r="N22" i="5"/>
  <c r="N25" i="5" s="1"/>
  <c r="B24" i="4"/>
  <c r="B25" i="4" s="1"/>
  <c r="M23" i="4"/>
  <c r="L23" i="4"/>
  <c r="K23" i="4"/>
  <c r="J23" i="4"/>
  <c r="I23" i="4"/>
  <c r="H23" i="4"/>
  <c r="G23" i="4"/>
  <c r="F23" i="4"/>
  <c r="E23" i="4"/>
  <c r="D23" i="4"/>
  <c r="C23" i="4"/>
  <c r="B23" i="4"/>
  <c r="N22" i="4"/>
  <c r="B24" i="1"/>
  <c r="B25" i="1" s="1"/>
  <c r="M23" i="1"/>
  <c r="L23" i="1"/>
  <c r="K23" i="1"/>
  <c r="J23" i="1"/>
  <c r="I23" i="1"/>
  <c r="H23" i="1"/>
  <c r="G23" i="1"/>
  <c r="F23" i="1"/>
  <c r="E23" i="1"/>
  <c r="D23" i="1"/>
  <c r="C23" i="1"/>
  <c r="B23" i="1"/>
  <c r="N23" i="1" s="1"/>
  <c r="N22" i="1"/>
  <c r="B29" i="2" l="1"/>
  <c r="O29" i="2" s="1"/>
  <c r="B30" i="2"/>
  <c r="O27" i="2"/>
  <c r="N28" i="2"/>
  <c r="N30" i="2" s="1"/>
  <c r="N25" i="7"/>
  <c r="N23" i="6"/>
  <c r="N24" i="6"/>
  <c r="N25" i="6" s="1"/>
  <c r="N23" i="5"/>
  <c r="N23" i="4"/>
  <c r="N24" i="4"/>
  <c r="N25" i="4" s="1"/>
  <c r="N24" i="1"/>
  <c r="N25" i="1" s="1"/>
  <c r="K41" i="8"/>
  <c r="L41" i="8"/>
  <c r="M20" i="7"/>
  <c r="M41" i="8" s="1"/>
  <c r="M18" i="7"/>
  <c r="AH4" i="9" l="1"/>
  <c r="AH5" i="9"/>
  <c r="AH6" i="9"/>
  <c r="AH7" i="9"/>
  <c r="M19" i="2" l="1"/>
  <c r="M20" i="2"/>
  <c r="M21" i="2"/>
  <c r="M22" i="2"/>
  <c r="M37" i="8"/>
  <c r="M38" i="8"/>
  <c r="M39" i="8"/>
  <c r="M40" i="8"/>
  <c r="M18" i="6"/>
  <c r="M19" i="6"/>
  <c r="M20" i="6"/>
  <c r="M20" i="5"/>
  <c r="M19" i="5"/>
  <c r="M18" i="5"/>
  <c r="M20" i="4"/>
  <c r="M19" i="4"/>
  <c r="M18" i="4"/>
  <c r="M20" i="1"/>
  <c r="M19" i="1"/>
  <c r="M18" i="1"/>
  <c r="M23" i="2" l="1"/>
  <c r="L40" i="8"/>
  <c r="L39" i="8"/>
  <c r="L38" i="8"/>
  <c r="L37" i="8"/>
  <c r="L22" i="2"/>
  <c r="L21" i="2"/>
  <c r="L20" i="2"/>
  <c r="L19" i="2"/>
  <c r="L20" i="7"/>
  <c r="L18" i="7"/>
  <c r="L20" i="6"/>
  <c r="L19" i="6"/>
  <c r="L18" i="6"/>
  <c r="L20" i="5"/>
  <c r="L19" i="5"/>
  <c r="L18" i="5"/>
  <c r="L20" i="4"/>
  <c r="L19" i="4"/>
  <c r="L18" i="4"/>
  <c r="L20" i="1"/>
  <c r="L19" i="1"/>
  <c r="L18" i="1"/>
  <c r="L23" i="2" l="1"/>
  <c r="K20" i="5"/>
  <c r="K39" i="8" s="1"/>
  <c r="K19" i="5"/>
  <c r="K18" i="5"/>
  <c r="K40" i="8"/>
  <c r="K38" i="8"/>
  <c r="K21" i="2"/>
  <c r="K23" i="2" s="1"/>
  <c r="K19" i="2"/>
  <c r="K19" i="1"/>
  <c r="K20" i="1" s="1"/>
  <c r="K37" i="8" s="1"/>
  <c r="K18" i="1"/>
  <c r="K22" i="2" s="1"/>
  <c r="K20" i="4"/>
  <c r="K19" i="4"/>
  <c r="K18" i="4"/>
  <c r="K20" i="6"/>
  <c r="K19" i="6"/>
  <c r="K18" i="6"/>
  <c r="K20" i="7"/>
  <c r="K18" i="7"/>
  <c r="J18" i="7" l="1"/>
  <c r="J19" i="7"/>
  <c r="J20" i="7"/>
  <c r="J38" i="8" l="1"/>
  <c r="J39" i="8"/>
  <c r="J40" i="8"/>
  <c r="J41" i="8"/>
  <c r="J19" i="2"/>
  <c r="J21" i="2"/>
  <c r="J18" i="6"/>
  <c r="J19" i="6"/>
  <c r="J20" i="6"/>
  <c r="J18" i="5"/>
  <c r="J19" i="5"/>
  <c r="J20" i="5"/>
  <c r="J18" i="4"/>
  <c r="J19" i="4"/>
  <c r="J20" i="4"/>
  <c r="J20" i="1"/>
  <c r="J37" i="8" s="1"/>
  <c r="J19" i="1"/>
  <c r="J18" i="1"/>
  <c r="J22" i="2" s="1"/>
  <c r="J23" i="2" l="1"/>
  <c r="I20" i="7"/>
  <c r="I19" i="7"/>
  <c r="I18" i="7"/>
  <c r="I41" i="8" l="1"/>
  <c r="I40" i="8"/>
  <c r="I39" i="8"/>
  <c r="I38" i="8"/>
  <c r="I21" i="2"/>
  <c r="I19" i="2"/>
  <c r="I20" i="6"/>
  <c r="I19" i="6"/>
  <c r="I18" i="6"/>
  <c r="I20" i="5"/>
  <c r="I19" i="5"/>
  <c r="I18" i="5"/>
  <c r="I20" i="4"/>
  <c r="I19" i="4"/>
  <c r="I18" i="4"/>
  <c r="I20" i="1"/>
  <c r="I37" i="8" s="1"/>
  <c r="I19" i="1"/>
  <c r="I18" i="1"/>
  <c r="I22" i="2" s="1"/>
  <c r="I23" i="2" l="1"/>
  <c r="H41" i="8"/>
  <c r="H40" i="8"/>
  <c r="H39" i="8"/>
  <c r="H38" i="8"/>
  <c r="H22" i="2"/>
  <c r="H21" i="2"/>
  <c r="H23" i="2" s="1"/>
  <c r="H19" i="2"/>
  <c r="H20" i="6"/>
  <c r="H19" i="6"/>
  <c r="H18" i="6"/>
  <c r="H20" i="5"/>
  <c r="H19" i="5"/>
  <c r="H18" i="5"/>
  <c r="H20" i="4"/>
  <c r="H19" i="4"/>
  <c r="H18" i="4"/>
  <c r="H19" i="1"/>
  <c r="H20" i="1" s="1"/>
  <c r="H37" i="8" s="1"/>
  <c r="H18" i="1"/>
  <c r="H20" i="7"/>
  <c r="H19" i="7"/>
  <c r="G19" i="7"/>
  <c r="F19" i="7"/>
  <c r="E19" i="7"/>
  <c r="D19" i="7"/>
  <c r="C19" i="7"/>
  <c r="B19" i="7"/>
  <c r="H18" i="7"/>
  <c r="G41" i="8" l="1"/>
  <c r="G40" i="8"/>
  <c r="G39" i="8"/>
  <c r="G38" i="8"/>
  <c r="G21" i="2"/>
  <c r="G19" i="2"/>
  <c r="G20" i="6"/>
  <c r="G19" i="6"/>
  <c r="G18" i="6"/>
  <c r="G20" i="5"/>
  <c r="G19" i="5"/>
  <c r="G18" i="5"/>
  <c r="G20" i="4"/>
  <c r="G19" i="4"/>
  <c r="G18" i="4"/>
  <c r="G20" i="1"/>
  <c r="G37" i="8" s="1"/>
  <c r="G19" i="1"/>
  <c r="G18" i="1"/>
  <c r="G22" i="2" s="1"/>
  <c r="G20" i="7"/>
  <c r="G18" i="7"/>
  <c r="G23" i="2" l="1"/>
  <c r="F40" i="8"/>
  <c r="F39" i="8"/>
  <c r="F38" i="8"/>
  <c r="F20" i="7" l="1"/>
  <c r="F41" i="8" s="1"/>
  <c r="F18" i="7"/>
  <c r="C21" i="2"/>
  <c r="D21" i="2"/>
  <c r="E21" i="2"/>
  <c r="F21" i="2"/>
  <c r="B21" i="2"/>
  <c r="C19" i="2" l="1"/>
  <c r="D19" i="2"/>
  <c r="E19" i="2"/>
  <c r="F19" i="2"/>
  <c r="F23" i="2" s="1"/>
  <c r="B19" i="2"/>
  <c r="C20" i="7"/>
  <c r="C41" i="8" s="1"/>
  <c r="D20" i="7"/>
  <c r="D41" i="8" s="1"/>
  <c r="E20" i="7"/>
  <c r="E41" i="8" s="1"/>
  <c r="B20" i="7"/>
  <c r="B41" i="8" s="1"/>
  <c r="N19" i="7"/>
  <c r="N17" i="7"/>
  <c r="N20" i="7" s="1"/>
  <c r="M13" i="7"/>
  <c r="C18" i="7"/>
  <c r="D18" i="7"/>
  <c r="E18" i="7"/>
  <c r="B18" i="7"/>
  <c r="N18" i="7" s="1"/>
  <c r="M15" i="7"/>
  <c r="M10" i="8" s="1"/>
  <c r="F20" i="6"/>
  <c r="F19" i="6"/>
  <c r="F18" i="6"/>
  <c r="F20" i="5"/>
  <c r="F19" i="5"/>
  <c r="F18" i="5"/>
  <c r="F20" i="4"/>
  <c r="F19" i="4"/>
  <c r="F18" i="4"/>
  <c r="F19" i="1"/>
  <c r="F20" i="1" s="1"/>
  <c r="F37" i="8" s="1"/>
  <c r="F18" i="1"/>
  <c r="F22" i="2" s="1"/>
  <c r="E40" i="8" l="1"/>
  <c r="E39" i="8"/>
  <c r="E38" i="8"/>
  <c r="E23" i="2"/>
  <c r="E20" i="6"/>
  <c r="E19" i="6"/>
  <c r="E18" i="6"/>
  <c r="E20" i="5"/>
  <c r="E19" i="5"/>
  <c r="E18" i="5"/>
  <c r="E20" i="4"/>
  <c r="E19" i="4"/>
  <c r="E18" i="4"/>
  <c r="E19" i="1"/>
  <c r="E20" i="1" s="1"/>
  <c r="E37" i="8" s="1"/>
  <c r="E18" i="1"/>
  <c r="E22" i="2" s="1"/>
  <c r="D38" i="8" l="1"/>
  <c r="D39" i="8"/>
  <c r="D40" i="8"/>
  <c r="D23" i="2"/>
  <c r="D20" i="6"/>
  <c r="D19" i="6"/>
  <c r="D18" i="6"/>
  <c r="D20" i="5"/>
  <c r="D19" i="5"/>
  <c r="D18" i="5"/>
  <c r="D20" i="4"/>
  <c r="D19" i="4"/>
  <c r="D18" i="4"/>
  <c r="D19" i="1"/>
  <c r="D20" i="1" s="1"/>
  <c r="D37" i="8" s="1"/>
  <c r="D18" i="1"/>
  <c r="D22" i="2" s="1"/>
  <c r="N18" i="6" l="1"/>
  <c r="N19" i="6"/>
  <c r="N7" i="6"/>
  <c r="N14" i="6"/>
  <c r="N15" i="6" l="1"/>
  <c r="C20" i="4" l="1"/>
  <c r="C38" i="8" s="1"/>
  <c r="C40" i="8"/>
  <c r="C39" i="8"/>
  <c r="C23" i="2"/>
  <c r="C20" i="6"/>
  <c r="C18" i="6"/>
  <c r="C19" i="6"/>
  <c r="B19" i="6"/>
  <c r="C20" i="5"/>
  <c r="C19" i="5"/>
  <c r="B19" i="5"/>
  <c r="C18" i="5"/>
  <c r="C19" i="1"/>
  <c r="C20" i="1" s="1"/>
  <c r="C37" i="8" s="1"/>
  <c r="B19" i="1"/>
  <c r="C19" i="4"/>
  <c r="B19" i="4"/>
  <c r="C18" i="4"/>
  <c r="C18" i="1"/>
  <c r="C22" i="2" s="1"/>
  <c r="C36" i="8" l="1"/>
  <c r="D36" i="8"/>
  <c r="E36" i="8"/>
  <c r="F36" i="8"/>
  <c r="G36" i="8"/>
  <c r="H36" i="8"/>
  <c r="I36" i="8"/>
  <c r="J36" i="8"/>
  <c r="K36" i="8"/>
  <c r="L36" i="8"/>
  <c r="M36" i="8"/>
  <c r="B36" i="8"/>
  <c r="B23" i="2"/>
  <c r="N21" i="2"/>
  <c r="S21" i="2" s="1"/>
  <c r="N19" i="2"/>
  <c r="N23" i="2" l="1"/>
  <c r="P9" i="6"/>
  <c r="B20" i="6"/>
  <c r="B40" i="8" s="1"/>
  <c r="B18" i="6"/>
  <c r="N17" i="6"/>
  <c r="N20" i="6" s="1"/>
  <c r="P12" i="5"/>
  <c r="O13" i="5"/>
  <c r="N15" i="5"/>
  <c r="B20" i="5"/>
  <c r="B39" i="8" s="1"/>
  <c r="N19" i="5"/>
  <c r="B18" i="5"/>
  <c r="N18" i="5" s="1"/>
  <c r="N17" i="5"/>
  <c r="N15" i="4"/>
  <c r="O13" i="4"/>
  <c r="P12" i="4"/>
  <c r="B20" i="4"/>
  <c r="B38" i="8" s="1"/>
  <c r="B18" i="4"/>
  <c r="N18" i="4"/>
  <c r="N19" i="4"/>
  <c r="N17" i="4"/>
  <c r="B20" i="1"/>
  <c r="B37" i="8" s="1"/>
  <c r="N20" i="4" l="1"/>
  <c r="N20" i="5"/>
  <c r="N14" i="1"/>
  <c r="N19" i="1"/>
  <c r="B18" i="1"/>
  <c r="N17" i="1"/>
  <c r="N18" i="1" l="1"/>
  <c r="B22" i="2"/>
  <c r="O22" i="2" s="1"/>
  <c r="N20" i="1"/>
  <c r="M6" i="8"/>
  <c r="M7" i="8"/>
  <c r="M8" i="8"/>
  <c r="M9" i="8"/>
  <c r="M12" i="2"/>
  <c r="M15" i="6"/>
  <c r="M13" i="6"/>
  <c r="M15" i="5"/>
  <c r="M13" i="5"/>
  <c r="M15" i="4"/>
  <c r="M13" i="4"/>
  <c r="M15" i="1"/>
  <c r="M13" i="1"/>
  <c r="L15" i="7" l="1"/>
  <c r="L13" i="7"/>
  <c r="L7" i="8" l="1"/>
  <c r="L9" i="8"/>
  <c r="L10" i="8"/>
  <c r="L12" i="2"/>
  <c r="L15" i="6"/>
  <c r="L13" i="6"/>
  <c r="L15" i="5"/>
  <c r="L8" i="8" s="1"/>
  <c r="L13" i="5"/>
  <c r="L15" i="4"/>
  <c r="L13" i="4"/>
  <c r="L13" i="1"/>
  <c r="L15" i="1"/>
  <c r="L6" i="8" s="1"/>
  <c r="K15" i="7" l="1"/>
  <c r="K10" i="8" s="1"/>
  <c r="K13" i="7"/>
  <c r="K9" i="8" l="1"/>
  <c r="K7" i="8"/>
  <c r="J9" i="8"/>
  <c r="J7" i="8"/>
  <c r="K5" i="8"/>
  <c r="K12" i="2"/>
  <c r="K15" i="6"/>
  <c r="K13" i="6"/>
  <c r="K15" i="5"/>
  <c r="K8" i="8" s="1"/>
  <c r="K13" i="5"/>
  <c r="K15" i="4"/>
  <c r="K13" i="4"/>
  <c r="K15" i="1"/>
  <c r="K6" i="8" s="1"/>
  <c r="K13" i="1"/>
  <c r="C5" i="8" l="1"/>
  <c r="D5" i="8"/>
  <c r="E5" i="8"/>
  <c r="F5" i="8"/>
  <c r="G5" i="8"/>
  <c r="H5" i="8"/>
  <c r="I5" i="8"/>
  <c r="J5" i="8"/>
  <c r="B5" i="8"/>
  <c r="D9" i="8"/>
  <c r="E9" i="8"/>
  <c r="F9" i="8"/>
  <c r="G9" i="8"/>
  <c r="H9" i="8"/>
  <c r="I9" i="8"/>
  <c r="C7" i="8"/>
  <c r="D7" i="8"/>
  <c r="E7" i="8"/>
  <c r="F7" i="8"/>
  <c r="G7" i="8"/>
  <c r="H7" i="8"/>
  <c r="I7" i="8"/>
  <c r="B7" i="8"/>
  <c r="G15" i="7" l="1"/>
  <c r="G10" i="8" s="1"/>
  <c r="H15" i="7"/>
  <c r="H10" i="8" s="1"/>
  <c r="I15" i="7"/>
  <c r="I10" i="8" s="1"/>
  <c r="J15" i="7"/>
  <c r="J10" i="8" s="1"/>
  <c r="F15" i="7"/>
  <c r="F10" i="8" s="1"/>
  <c r="C8" i="7"/>
  <c r="D8" i="7"/>
  <c r="E8" i="7"/>
  <c r="F8" i="7"/>
  <c r="G8" i="7"/>
  <c r="H8" i="7"/>
  <c r="I8" i="7"/>
  <c r="J8" i="7"/>
  <c r="K8" i="7"/>
  <c r="L8" i="7"/>
  <c r="M8" i="7"/>
  <c r="N8" i="7"/>
  <c r="B8" i="7"/>
  <c r="J12" i="2"/>
  <c r="J13" i="7"/>
  <c r="J15" i="6"/>
  <c r="J13" i="6"/>
  <c r="J15" i="5"/>
  <c r="J8" i="8" s="1"/>
  <c r="J13" i="5"/>
  <c r="J15" i="4"/>
  <c r="J13" i="4"/>
  <c r="J15" i="1"/>
  <c r="J6" i="8" s="1"/>
  <c r="J13" i="1"/>
  <c r="C15" i="6" l="1"/>
  <c r="C9" i="8" s="1"/>
  <c r="D15" i="6"/>
  <c r="E15" i="6"/>
  <c r="F15" i="6"/>
  <c r="G15" i="6"/>
  <c r="H15" i="6"/>
  <c r="I15" i="6"/>
  <c r="B15" i="6"/>
  <c r="B9" i="8" s="1"/>
  <c r="C15" i="5"/>
  <c r="C8" i="8" s="1"/>
  <c r="D15" i="5"/>
  <c r="D8" i="8" s="1"/>
  <c r="E15" i="5"/>
  <c r="E8" i="8" s="1"/>
  <c r="F15" i="5"/>
  <c r="F8" i="8" s="1"/>
  <c r="G15" i="5"/>
  <c r="G8" i="8" s="1"/>
  <c r="H15" i="5"/>
  <c r="H8" i="8" s="1"/>
  <c r="I15" i="5"/>
  <c r="I8" i="8" s="1"/>
  <c r="B15" i="5"/>
  <c r="B8" i="8" s="1"/>
  <c r="N14" i="5"/>
  <c r="C15" i="4"/>
  <c r="D15" i="4"/>
  <c r="E15" i="4"/>
  <c r="F15" i="4"/>
  <c r="G15" i="4"/>
  <c r="H15" i="4"/>
  <c r="I15" i="4"/>
  <c r="B15" i="4"/>
  <c r="B15" i="1"/>
  <c r="B6" i="8" s="1"/>
  <c r="C15" i="1"/>
  <c r="C6" i="8" s="1"/>
  <c r="D15" i="1"/>
  <c r="D6" i="8" s="1"/>
  <c r="E15" i="1"/>
  <c r="E6" i="8" s="1"/>
  <c r="F15" i="1"/>
  <c r="F6" i="8" s="1"/>
  <c r="G15" i="1"/>
  <c r="G6" i="8" s="1"/>
  <c r="H15" i="1"/>
  <c r="H6" i="8" s="1"/>
  <c r="I15" i="1"/>
  <c r="I6" i="8" s="1"/>
  <c r="N14" i="4"/>
  <c r="I12" i="2" l="1"/>
  <c r="I13" i="6"/>
  <c r="I13" i="5"/>
  <c r="I13" i="4"/>
  <c r="I13" i="1"/>
  <c r="I13" i="7"/>
  <c r="H13" i="7" l="1"/>
  <c r="H13" i="6"/>
  <c r="H13" i="5"/>
  <c r="H13" i="4"/>
  <c r="H12" i="2"/>
  <c r="H13" i="1"/>
  <c r="G13" i="7" l="1"/>
  <c r="G12" i="2"/>
  <c r="G13" i="6"/>
  <c r="G13" i="5"/>
  <c r="G13" i="4"/>
  <c r="G13" i="1"/>
  <c r="F12" i="2" l="1"/>
  <c r="F13" i="7"/>
  <c r="N13" i="7" s="1"/>
  <c r="F13" i="4"/>
  <c r="F13" i="6"/>
  <c r="F13" i="1"/>
  <c r="F13" i="5"/>
  <c r="E12" i="2" l="1"/>
  <c r="E13" i="6"/>
  <c r="E13" i="5"/>
  <c r="E13" i="4"/>
  <c r="E13" i="1"/>
  <c r="D12" i="2" l="1"/>
  <c r="D13" i="6"/>
  <c r="D13" i="5"/>
  <c r="D13" i="4"/>
  <c r="D13" i="1"/>
  <c r="F3" i="2" l="1"/>
  <c r="C12" i="2" l="1"/>
  <c r="C13" i="6"/>
  <c r="B8" i="6"/>
  <c r="C8" i="6"/>
  <c r="D8" i="6"/>
  <c r="E8" i="6"/>
  <c r="F8" i="6"/>
  <c r="C13" i="5"/>
  <c r="C13" i="4"/>
  <c r="C13" i="1"/>
  <c r="B12" i="2" l="1"/>
  <c r="N12" i="2" s="1"/>
  <c r="B6" i="2"/>
  <c r="C6" i="2"/>
  <c r="D6" i="2"/>
  <c r="E6" i="2"/>
  <c r="F6" i="2"/>
  <c r="G6" i="2"/>
  <c r="F2" i="2" l="1"/>
  <c r="H2" i="2" s="1"/>
  <c r="P9" i="4"/>
  <c r="B13" i="6" l="1"/>
  <c r="B13" i="5"/>
  <c r="B13" i="4"/>
  <c r="B13" i="1"/>
  <c r="D15" i="2" l="1"/>
  <c r="E15" i="2"/>
  <c r="F15" i="2"/>
  <c r="G15" i="2"/>
  <c r="H15" i="2"/>
  <c r="I15" i="2"/>
  <c r="J15" i="2"/>
  <c r="K15" i="2"/>
  <c r="L15" i="2"/>
  <c r="M15" i="2"/>
  <c r="C15" i="2"/>
  <c r="B15" i="2"/>
  <c r="C14" i="2"/>
  <c r="C16" i="2" s="1"/>
  <c r="D14" i="2"/>
  <c r="D16" i="2" s="1"/>
  <c r="E14" i="2"/>
  <c r="E16" i="2" s="1"/>
  <c r="F14" i="2"/>
  <c r="F16" i="2" s="1"/>
  <c r="G14" i="2"/>
  <c r="G16" i="2" s="1"/>
  <c r="H14" i="2"/>
  <c r="H16" i="2" s="1"/>
  <c r="I14" i="2"/>
  <c r="I16" i="2" s="1"/>
  <c r="J14" i="2"/>
  <c r="J16" i="2" s="1"/>
  <c r="K14" i="2"/>
  <c r="K16" i="2" s="1"/>
  <c r="L14" i="2"/>
  <c r="L16" i="2" s="1"/>
  <c r="M14" i="2"/>
  <c r="M16" i="2" s="1"/>
  <c r="B14" i="2"/>
  <c r="B16" i="2" s="1"/>
  <c r="N12" i="7"/>
  <c r="N13" i="6"/>
  <c r="N12" i="6"/>
  <c r="P12" i="6" s="1"/>
  <c r="N13" i="5"/>
  <c r="N12" i="5"/>
  <c r="N13" i="4"/>
  <c r="N12" i="4"/>
  <c r="N13" i="1"/>
  <c r="O13" i="1" s="1"/>
  <c r="N12" i="1"/>
  <c r="P12" i="1" l="1"/>
  <c r="O15" i="2"/>
  <c r="N14" i="2"/>
  <c r="S14" i="2" s="1"/>
  <c r="O10" i="4"/>
  <c r="P14" i="2" l="1"/>
  <c r="N16" i="2"/>
  <c r="M6" i="2"/>
  <c r="L6" i="2"/>
  <c r="K6" i="2"/>
  <c r="M10" i="6"/>
  <c r="M8" i="6"/>
  <c r="M10" i="5"/>
  <c r="M8" i="5"/>
  <c r="M10" i="4"/>
  <c r="M8" i="4"/>
  <c r="M10" i="1"/>
  <c r="M8" i="1"/>
  <c r="M7" i="2" s="1"/>
  <c r="M13" i="2" l="1"/>
  <c r="K10" i="6"/>
  <c r="L10" i="6"/>
  <c r="K8" i="6"/>
  <c r="L8" i="6"/>
  <c r="K10" i="5"/>
  <c r="L10" i="5"/>
  <c r="K8" i="5"/>
  <c r="L8" i="5"/>
  <c r="K10" i="4"/>
  <c r="L10" i="4"/>
  <c r="K8" i="4"/>
  <c r="L8" i="4"/>
  <c r="K10" i="1"/>
  <c r="L10" i="1"/>
  <c r="K8" i="1"/>
  <c r="L8" i="1"/>
  <c r="L7" i="2" s="1"/>
  <c r="K7" i="2" l="1"/>
  <c r="K20" i="2"/>
  <c r="K13" i="2"/>
  <c r="L13" i="2"/>
  <c r="J6" i="2"/>
  <c r="J10" i="6"/>
  <c r="J8" i="6"/>
  <c r="I10" i="6"/>
  <c r="J10" i="5"/>
  <c r="J8" i="5"/>
  <c r="J10" i="4"/>
  <c r="J8" i="4"/>
  <c r="J10" i="1"/>
  <c r="J8" i="1"/>
  <c r="J7" i="2" l="1"/>
  <c r="J20" i="2"/>
  <c r="J13" i="2"/>
  <c r="I8" i="6"/>
  <c r="I6" i="2" l="1"/>
  <c r="I10" i="5"/>
  <c r="I8" i="5"/>
  <c r="I10" i="4"/>
  <c r="I8" i="4"/>
  <c r="I10" i="1"/>
  <c r="I8" i="1"/>
  <c r="I20" i="2" s="1"/>
  <c r="I13" i="2" l="1"/>
  <c r="I7" i="2"/>
  <c r="H6" i="2"/>
  <c r="H10" i="6"/>
  <c r="H8" i="6"/>
  <c r="H10" i="5"/>
  <c r="H8" i="5"/>
  <c r="H10" i="4"/>
  <c r="H8" i="4"/>
  <c r="H10" i="1"/>
  <c r="H9" i="2" s="1"/>
  <c r="H8" i="1"/>
  <c r="H20" i="2" s="1"/>
  <c r="H13" i="2" l="1"/>
  <c r="H7" i="2"/>
  <c r="G10" i="6" l="1"/>
  <c r="G8" i="6"/>
  <c r="N8" i="6" s="1"/>
  <c r="G10" i="4"/>
  <c r="G10" i="1"/>
  <c r="G8" i="1" l="1"/>
  <c r="G20" i="2" s="1"/>
  <c r="G8" i="4"/>
  <c r="G8" i="5"/>
  <c r="G13" i="2" l="1"/>
  <c r="G7" i="2"/>
  <c r="G10" i="5"/>
  <c r="G9" i="2" s="1"/>
  <c r="G8" i="2"/>
  <c r="C8" i="5"/>
  <c r="D8" i="5"/>
  <c r="N8" i="5" s="1"/>
  <c r="E8" i="5"/>
  <c r="F8" i="5"/>
  <c r="B8" i="5"/>
  <c r="C8" i="4"/>
  <c r="D8" i="4"/>
  <c r="E8" i="4"/>
  <c r="F8" i="4"/>
  <c r="B8" i="4"/>
  <c r="C8" i="1"/>
  <c r="C20" i="2" s="1"/>
  <c r="D8" i="1"/>
  <c r="D20" i="2" s="1"/>
  <c r="E8" i="1"/>
  <c r="E20" i="2" s="1"/>
  <c r="F8" i="1"/>
  <c r="F20" i="2" s="1"/>
  <c r="B8" i="1"/>
  <c r="B20" i="2" s="1"/>
  <c r="O20" i="2" s="1"/>
  <c r="F10" i="4"/>
  <c r="F10" i="1"/>
  <c r="C7" i="2" l="1"/>
  <c r="C13" i="2"/>
  <c r="F13" i="2"/>
  <c r="F7" i="2"/>
  <c r="E13" i="2"/>
  <c r="E7" i="2"/>
  <c r="B7" i="2"/>
  <c r="B13" i="2"/>
  <c r="D13" i="2"/>
  <c r="D7" i="2"/>
  <c r="N8" i="4"/>
  <c r="N8" i="1"/>
  <c r="O13" i="2" l="1"/>
  <c r="O7" i="2"/>
  <c r="Q7" i="2" s="1"/>
  <c r="N6" i="2"/>
  <c r="P6" i="2" s="1"/>
  <c r="N9" i="1"/>
  <c r="N7" i="1"/>
  <c r="N15" i="1" s="1"/>
  <c r="N10" i="1" l="1"/>
  <c r="O10" i="1" s="1"/>
  <c r="P9" i="1"/>
  <c r="F10" i="5"/>
  <c r="E10" i="4"/>
  <c r="E10" i="1"/>
  <c r="E10" i="5"/>
  <c r="N7" i="5" l="1"/>
  <c r="N7" i="4"/>
  <c r="D10" i="4"/>
  <c r="D10" i="1"/>
  <c r="D10" i="5" l="1"/>
  <c r="C10" i="1" l="1"/>
  <c r="C10" i="4"/>
  <c r="C10" i="5" l="1"/>
  <c r="B10" i="4"/>
  <c r="Q15" i="2" l="1"/>
  <c r="N9" i="6" l="1"/>
  <c r="N10" i="6" s="1"/>
  <c r="B10" i="1"/>
  <c r="B10" i="5" l="1"/>
  <c r="N9" i="5" l="1"/>
  <c r="P9" i="5" s="1"/>
  <c r="N9" i="4"/>
  <c r="N10" i="4" s="1"/>
  <c r="B8" i="2"/>
  <c r="N10" i="5" l="1"/>
  <c r="O10" i="5" s="1"/>
  <c r="E8" i="2"/>
  <c r="E9" i="2"/>
  <c r="K8" i="2"/>
  <c r="K9" i="2"/>
  <c r="D9" i="2"/>
  <c r="D8" i="2"/>
  <c r="J8" i="2"/>
  <c r="J9" i="2"/>
  <c r="C8" i="2"/>
  <c r="C9" i="2"/>
  <c r="L9" i="2"/>
  <c r="L8" i="2"/>
  <c r="H8" i="2"/>
  <c r="M8" i="2"/>
  <c r="M9" i="2"/>
  <c r="F8" i="2"/>
  <c r="F9" i="2"/>
  <c r="I8" i="2"/>
  <c r="I9" i="2"/>
  <c r="B9" i="2"/>
  <c r="N8" i="2" l="1"/>
  <c r="O9" i="2"/>
  <c r="Q9" i="2" l="1"/>
  <c r="R9" i="2"/>
  <c r="P8" i="2"/>
  <c r="S6" i="2"/>
</calcChain>
</file>

<file path=xl/comments1.xml><?xml version="1.0" encoding="utf-8"?>
<comments xmlns="http://schemas.openxmlformats.org/spreadsheetml/2006/main">
  <authors>
    <author>Mathe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Mathe:</t>
        </r>
        <r>
          <rPr>
            <sz val="9"/>
            <color indexed="81"/>
            <rFont val="Tahoma"/>
            <family val="2"/>
          </rPr>
          <t xml:space="preserve">
cet index sert à vérifier les formules de calculs
</t>
        </r>
      </text>
    </comment>
  </commentList>
</comments>
</file>

<file path=xl/comments2.xml><?xml version="1.0" encoding="utf-8"?>
<comments xmlns="http://schemas.openxmlformats.org/spreadsheetml/2006/main">
  <authors>
    <author>Mathe</author>
  </authors>
  <commentList>
    <comment ref="L12" authorId="0">
      <text>
        <r>
          <rPr>
            <b/>
            <sz val="9"/>
            <color indexed="81"/>
            <rFont val="Tahoma"/>
            <charset val="1"/>
          </rPr>
          <t>Mathe:</t>
        </r>
        <r>
          <rPr>
            <sz val="9"/>
            <color indexed="81"/>
            <rFont val="Tahoma"/>
            <charset val="1"/>
          </rPr>
          <t xml:space="preserve">
j'ai calculé l'index par une régle de trois sur les 40 jours du 1er novembre au 10 décembre
</t>
        </r>
      </text>
    </comment>
  </commentList>
</comments>
</file>

<file path=xl/comments3.xml><?xml version="1.0" encoding="utf-8"?>
<comments xmlns="http://schemas.openxmlformats.org/spreadsheetml/2006/main">
  <authors>
    <author>Mathe</author>
  </authors>
  <commentList>
    <comment ref="N4" authorId="0">
      <text>
        <r>
          <rPr>
            <b/>
            <sz val="9"/>
            <color indexed="81"/>
            <rFont val="Tahoma"/>
            <family val="2"/>
          </rPr>
          <t>Mathe:</t>
        </r>
        <r>
          <rPr>
            <sz val="9"/>
            <color indexed="81"/>
            <rFont val="Tahoma"/>
            <family val="2"/>
          </rPr>
          <t xml:space="preserve">
la centrale 4 S. Massé a été mise en service en juin 2022. Elle sera facturée en 2023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Mathe:</t>
        </r>
        <r>
          <rPr>
            <sz val="9"/>
            <color indexed="81"/>
            <rFont val="Tahoma"/>
            <family val="2"/>
          </rPr>
          <t xml:space="preserve">
ajout à la production de 2022 , la production de la centrale 4 S. Massé
</t>
        </r>
      </text>
    </comment>
    <comment ref="P11" authorId="0">
      <text>
        <r>
          <rPr>
            <b/>
            <sz val="9"/>
            <color indexed="81"/>
            <rFont val="Tahoma"/>
            <family val="2"/>
          </rPr>
          <t>Mathe:</t>
        </r>
        <r>
          <rPr>
            <sz val="9"/>
            <color indexed="81"/>
            <rFont val="Tahoma"/>
            <family val="2"/>
          </rPr>
          <t xml:space="preserve">
ajout à la production de 2023 , la production de la centrale 5 S Badou- Doucet
</t>
        </r>
      </text>
    </comment>
  </commentList>
</comments>
</file>

<file path=xl/sharedStrings.xml><?xml version="1.0" encoding="utf-8"?>
<sst xmlns="http://schemas.openxmlformats.org/spreadsheetml/2006/main" count="290" uniqueCount="121">
  <si>
    <t xml:space="preserve">index </t>
  </si>
  <si>
    <t>puissance installée</t>
  </si>
  <si>
    <t xml:space="preserve">kWc </t>
  </si>
  <si>
    <t xml:space="preserve">suivi de la production de la centrale N°2 école Dolus </t>
  </si>
  <si>
    <t>suivi de la production de la centrale N° 3 La Josière</t>
  </si>
  <si>
    <t>suivi de la production de la centrale N° 1 SCI-SFPO</t>
  </si>
  <si>
    <t>production 2022 en kWh</t>
  </si>
  <si>
    <t xml:space="preserve">prix de vente du kWh </t>
  </si>
  <si>
    <t>€ HT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</si>
  <si>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</si>
  <si>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</si>
  <si>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</si>
  <si>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</si>
  <si>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</si>
  <si>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</si>
  <si>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</si>
  <si>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</si>
  <si>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</si>
  <si>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</si>
  <si>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</si>
  <si>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décembre</t>
  </si>
  <si>
    <t>production en kWh</t>
  </si>
  <si>
    <t>chiffre d'affaire en €</t>
  </si>
  <si>
    <t>chiffre d'affaires en €</t>
  </si>
  <si>
    <t xml:space="preserve">chiffre d'affaire en € </t>
  </si>
  <si>
    <t>totaux annuels</t>
  </si>
  <si>
    <t>année</t>
  </si>
  <si>
    <t>index au 4 janvier</t>
  </si>
  <si>
    <t xml:space="preserve">suivi de la production de la centrale N° 4 Massé </t>
  </si>
  <si>
    <t xml:space="preserve">suivi de la production de la centrale N° 5 Badou </t>
  </si>
  <si>
    <t>production prévisionnelle</t>
  </si>
  <si>
    <t>chiffre d'affaire prévisionnel en €</t>
  </si>
  <si>
    <t>rentabilité des capitaux investis %</t>
  </si>
  <si>
    <t>août</t>
  </si>
  <si>
    <t xml:space="preserve">décembre </t>
  </si>
  <si>
    <t>production 2023 en kWh</t>
  </si>
  <si>
    <t>annuelle facturable en 2023</t>
  </si>
  <si>
    <t>annuelle facturable en 2022</t>
  </si>
  <si>
    <t>annuelle probable en 2023</t>
  </si>
  <si>
    <t>annuelle probable en 2024</t>
  </si>
  <si>
    <t>nb heure fonctionnement pleine puissance</t>
  </si>
  <si>
    <t xml:space="preserve">centrale </t>
  </si>
  <si>
    <t>SCI-SFPO</t>
  </si>
  <si>
    <t>école Dolus</t>
  </si>
  <si>
    <t>La Josière</t>
  </si>
  <si>
    <t>Massé</t>
  </si>
  <si>
    <t>investissement</t>
  </si>
  <si>
    <t>puissance kW</t>
  </si>
  <si>
    <t>Total en 2022</t>
  </si>
  <si>
    <t>PRM: 50086341521650</t>
  </si>
  <si>
    <t>PRM : 50077073247720</t>
  </si>
  <si>
    <t>les patios d'Oléron</t>
  </si>
  <si>
    <t xml:space="preserve">route des Chateliers </t>
  </si>
  <si>
    <t xml:space="preserve">PRM : 500 158 639 743 48 </t>
  </si>
  <si>
    <t xml:space="preserve">25 rue des écoles Dolus </t>
  </si>
  <si>
    <t xml:space="preserve">prod réelle / prod prévisionnelle % </t>
  </si>
  <si>
    <t>production réelle en 2022</t>
  </si>
  <si>
    <t>prévisionnelle en 2022</t>
  </si>
  <si>
    <t>prévisionnelle en  2023</t>
  </si>
  <si>
    <t>production réelle en 2023</t>
  </si>
  <si>
    <t>Centrale N°1 SCI-SFPO</t>
  </si>
  <si>
    <t xml:space="preserve">Centrale N°2 école Dolus </t>
  </si>
  <si>
    <t>Centrale N°3 Les jardins de la Josière</t>
  </si>
  <si>
    <t>Centrale N°5 Badou-Doucet</t>
  </si>
  <si>
    <t>(prod réelle / prod prévisionnelle % ) en 2023</t>
  </si>
  <si>
    <t xml:space="preserve">comparaison des productions réelles par rapport aux productions prévisionnelles en %  pour mettre en évidence les divergences </t>
  </si>
  <si>
    <t xml:space="preserve">Centrale N°4 Massé </t>
  </si>
  <si>
    <r>
      <t xml:space="preserve">PRM : 5003134653 </t>
    </r>
    <r>
      <rPr>
        <b/>
        <sz val="11"/>
        <color theme="1"/>
        <rFont val="Calibri"/>
        <family val="2"/>
        <scheme val="minor"/>
      </rPr>
      <t>5320</t>
    </r>
  </si>
  <si>
    <t xml:space="preserve">Novembre </t>
  </si>
  <si>
    <t>production 2024 en kWh</t>
  </si>
  <si>
    <t>prévisionnelle en  2024</t>
  </si>
  <si>
    <t>production réelle en 2024</t>
  </si>
  <si>
    <t>annuelle facturable en 2024</t>
  </si>
  <si>
    <t>annuelle probable en 2025</t>
  </si>
  <si>
    <t>(prod réelle / prod prévisionnelle % ) en 2024</t>
  </si>
  <si>
    <t>PRM : 1528943548 4144</t>
  </si>
  <si>
    <t xml:space="preserve">Massé </t>
  </si>
  <si>
    <t>Dolus</t>
  </si>
  <si>
    <t>SCI- SFPO</t>
  </si>
  <si>
    <t>centrales</t>
  </si>
  <si>
    <t>total mensuel</t>
  </si>
  <si>
    <t>S Badou-M Doucet</t>
  </si>
  <si>
    <t xml:space="preserve">total en 2024 </t>
  </si>
  <si>
    <t>nb heure fonctionnement équivalent pleine puissance</t>
  </si>
  <si>
    <t>production 2025 en kWh</t>
  </si>
  <si>
    <t>prévisionnelle en  2025</t>
  </si>
  <si>
    <t>production réelle en 2025</t>
  </si>
  <si>
    <t>annuelle facturable en 2025</t>
  </si>
  <si>
    <t>annuelle probable en 2026</t>
  </si>
  <si>
    <t>01/01/2025</t>
  </si>
  <si>
    <t>02/01/2025</t>
  </si>
  <si>
    <t>03/01/2025</t>
  </si>
  <si>
    <t>04/01/2025</t>
  </si>
  <si>
    <t>05/01/2025</t>
  </si>
  <si>
    <t>06/01/2025</t>
  </si>
  <si>
    <t>07/01/2025</t>
  </si>
  <si>
    <t>08/01/2025</t>
  </si>
  <si>
    <t>09/01/2025</t>
  </si>
  <si>
    <t>10/01/2025</t>
  </si>
  <si>
    <t>11/01/2025</t>
  </si>
  <si>
    <t>12/01/2025</t>
  </si>
  <si>
    <t>13/01/2025</t>
  </si>
  <si>
    <t>14/01/2025</t>
  </si>
  <si>
    <t>15/01/2025</t>
  </si>
  <si>
    <t>16/01/2025</t>
  </si>
  <si>
    <t>17/01/2025</t>
  </si>
  <si>
    <t>18/01/2025</t>
  </si>
  <si>
    <t>19/01/2025</t>
  </si>
  <si>
    <t>20/01/2025</t>
  </si>
  <si>
    <t>21/01/2025</t>
  </si>
  <si>
    <t>22/01/2025</t>
  </si>
  <si>
    <t>23/01/2025</t>
  </si>
  <si>
    <t>24/01/2025</t>
  </si>
  <si>
    <t>25/01/2025</t>
  </si>
  <si>
    <t>26/01/2025</t>
  </si>
  <si>
    <t>27/01/2025</t>
  </si>
  <si>
    <t>28/01/2025</t>
  </si>
  <si>
    <t>29/01/2025</t>
  </si>
  <si>
    <t>30/01/2025</t>
  </si>
  <si>
    <t>31/01/2025</t>
  </si>
  <si>
    <t>La Josiere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</si>
</sst>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\ _€_-;\-* #,##0\ _€_-;_-* &quot;-&quot;??\ _€_-;_-@_-"/>
    <numFmt numFmtId="165" formatCode="#,##0.0"/>
    <numFmt numFmtId="166" formatCode="0.0"/>
    <numFmt numFmtId="167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7" xfId="0" applyFont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0" fillId="3" borderId="0" xfId="0" applyFill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43" fontId="1" fillId="3" borderId="7" xfId="1" applyFont="1" applyFill="1" applyBorder="1" applyAlignment="1">
      <alignment horizontal="center"/>
    </xf>
    <xf numFmtId="43" fontId="1" fillId="0" borderId="7" xfId="1" applyFont="1" applyBorder="1" applyAlignment="1">
      <alignment horizontal="center" wrapText="1"/>
    </xf>
    <xf numFmtId="43" fontId="0" fillId="0" borderId="7" xfId="1" applyFont="1" applyBorder="1" applyAlignment="1">
      <alignment horizontal="center"/>
    </xf>
    <xf numFmtId="164" fontId="0" fillId="2" borderId="7" xfId="1" applyNumberFormat="1" applyFont="1" applyFill="1" applyBorder="1" applyAlignment="1">
      <alignment horizontal="center"/>
    </xf>
    <xf numFmtId="43" fontId="0" fillId="2" borderId="7" xfId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0" fillId="5" borderId="7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43" fontId="0" fillId="4" borderId="7" xfId="1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0" fillId="6" borderId="12" xfId="0" applyFill="1" applyBorder="1" applyAlignment="1">
      <alignment horizontal="center"/>
    </xf>
    <xf numFmtId="164" fontId="0" fillId="6" borderId="7" xfId="1" applyNumberFormat="1" applyFon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 wrapText="1"/>
    </xf>
    <xf numFmtId="3" fontId="0" fillId="2" borderId="7" xfId="0" applyNumberFormat="1" applyFill="1" applyBorder="1" applyAlignment="1">
      <alignment horizontal="center"/>
    </xf>
    <xf numFmtId="3" fontId="0" fillId="7" borderId="7" xfId="0" applyNumberFormat="1" applyFill="1" applyBorder="1" applyAlignment="1">
      <alignment horizontal="center"/>
    </xf>
    <xf numFmtId="43" fontId="1" fillId="5" borderId="7" xfId="1" applyFont="1" applyFill="1" applyBorder="1" applyAlignment="1">
      <alignment horizontal="center" vertical="center"/>
    </xf>
    <xf numFmtId="1" fontId="0" fillId="6" borderId="7" xfId="0" applyNumberFormat="1" applyFill="1" applyBorder="1" applyAlignment="1">
      <alignment horizontal="center"/>
    </xf>
    <xf numFmtId="43" fontId="1" fillId="0" borderId="7" xfId="1" applyFont="1" applyFill="1" applyBorder="1" applyAlignment="1">
      <alignment horizontal="center"/>
    </xf>
    <xf numFmtId="0" fontId="0" fillId="0" borderId="7" xfId="0" applyBorder="1"/>
    <xf numFmtId="43" fontId="0" fillId="0" borderId="7" xfId="0" applyNumberFormat="1" applyBorder="1"/>
    <xf numFmtId="2" fontId="1" fillId="3" borderId="7" xfId="0" applyNumberFormat="1" applyFont="1" applyFill="1" applyBorder="1" applyAlignment="1">
      <alignment horizontal="center"/>
    </xf>
    <xf numFmtId="2" fontId="0" fillId="5" borderId="7" xfId="0" applyNumberFormat="1" applyFill="1" applyBorder="1" applyAlignment="1">
      <alignment horizontal="center" wrapText="1"/>
    </xf>
    <xf numFmtId="3" fontId="0" fillId="6" borderId="7" xfId="0" applyNumberFormat="1" applyFill="1" applyBorder="1" applyAlignment="1">
      <alignment horizontal="center"/>
    </xf>
    <xf numFmtId="3" fontId="0" fillId="0" borderId="0" xfId="0" applyNumberFormat="1"/>
    <xf numFmtId="3" fontId="1" fillId="3" borderId="7" xfId="0" applyNumberFormat="1" applyFont="1" applyFill="1" applyBorder="1" applyAlignment="1">
      <alignment horizontal="center" wrapText="1"/>
    </xf>
    <xf numFmtId="3" fontId="1" fillId="7" borderId="7" xfId="0" applyNumberFormat="1" applyFont="1" applyFill="1" applyBorder="1" applyAlignment="1">
      <alignment horizontal="center"/>
    </xf>
    <xf numFmtId="4" fontId="1" fillId="5" borderId="7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 wrapText="1"/>
    </xf>
    <xf numFmtId="164" fontId="1" fillId="3" borderId="7" xfId="1" applyNumberFormat="1" applyFont="1" applyFill="1" applyBorder="1" applyAlignment="1">
      <alignment horizontal="center"/>
    </xf>
    <xf numFmtId="164" fontId="0" fillId="0" borderId="7" xfId="0" applyNumberFormat="1" applyBorder="1"/>
    <xf numFmtId="3" fontId="0" fillId="2" borderId="7" xfId="0" applyNumberFormat="1" applyFont="1" applyFill="1" applyBorder="1" applyAlignment="1">
      <alignment horizontal="center"/>
    </xf>
    <xf numFmtId="3" fontId="0" fillId="6" borderId="7" xfId="0" applyNumberFormat="1" applyFont="1" applyFill="1" applyBorder="1" applyAlignment="1">
      <alignment horizontal="center"/>
    </xf>
    <xf numFmtId="4" fontId="0" fillId="4" borderId="7" xfId="0" applyNumberForma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0" fontId="0" fillId="0" borderId="0" xfId="0" applyFill="1" applyBorder="1"/>
    <xf numFmtId="43" fontId="0" fillId="0" borderId="0" xfId="0" applyNumberFormat="1" applyFill="1" applyBorder="1"/>
    <xf numFmtId="0" fontId="0" fillId="0" borderId="0" xfId="0" applyFill="1"/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1" fontId="6" fillId="3" borderId="7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43" fontId="1" fillId="3" borderId="10" xfId="0" applyNumberFormat="1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43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43" fontId="0" fillId="0" borderId="13" xfId="0" applyNumberFormat="1" applyBorder="1"/>
    <xf numFmtId="43" fontId="1" fillId="3" borderId="15" xfId="0" applyNumberFormat="1" applyFont="1" applyFill="1" applyBorder="1"/>
    <xf numFmtId="0" fontId="0" fillId="0" borderId="13" xfId="0" applyBorder="1"/>
    <xf numFmtId="164" fontId="6" fillId="3" borderId="15" xfId="0" applyNumberFormat="1" applyFon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3" fontId="0" fillId="8" borderId="7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43" fontId="1" fillId="3" borderId="7" xfId="0" applyNumberFormat="1" applyFont="1" applyFill="1" applyBorder="1" applyAlignment="1">
      <alignment horizontal="right"/>
    </xf>
    <xf numFmtId="4" fontId="1" fillId="7" borderId="7" xfId="0" applyNumberFormat="1" applyFont="1" applyFill="1" applyBorder="1" applyAlignment="1">
      <alignment horizontal="center"/>
    </xf>
    <xf numFmtId="4" fontId="0" fillId="8" borderId="7" xfId="0" applyNumberFormat="1" applyFill="1" applyBorder="1" applyAlignment="1">
      <alignment horizontal="center"/>
    </xf>
    <xf numFmtId="4" fontId="0" fillId="5" borderId="7" xfId="0" applyNumberFormat="1" applyFill="1" applyBorder="1" applyAlignment="1">
      <alignment horizontal="center" wrapText="1"/>
    </xf>
    <xf numFmtId="165" fontId="0" fillId="8" borderId="7" xfId="0" applyNumberFormat="1" applyFill="1" applyBorder="1" applyAlignment="1">
      <alignment horizontal="center"/>
    </xf>
    <xf numFmtId="165" fontId="0" fillId="7" borderId="7" xfId="0" applyNumberFormat="1" applyFill="1" applyBorder="1" applyAlignment="1">
      <alignment horizontal="center" wrapText="1"/>
    </xf>
    <xf numFmtId="166" fontId="0" fillId="0" borderId="0" xfId="0" applyNumberFormat="1"/>
    <xf numFmtId="0" fontId="0" fillId="0" borderId="7" xfId="0" applyBorder="1" applyAlignment="1">
      <alignment wrapText="1"/>
    </xf>
    <xf numFmtId="1" fontId="0" fillId="0" borderId="7" xfId="0" applyNumberFormat="1" applyBorder="1" applyAlignment="1">
      <alignment horizontal="center"/>
    </xf>
    <xf numFmtId="1" fontId="0" fillId="3" borderId="7" xfId="0" applyNumberForma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3" borderId="7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43" fontId="1" fillId="4" borderId="7" xfId="0" applyNumberFormat="1" applyFont="1" applyFill="1" applyBorder="1" applyAlignment="1">
      <alignment horizontal="center"/>
    </xf>
    <xf numFmtId="164" fontId="6" fillId="3" borderId="10" xfId="0" applyNumberFormat="1" applyFont="1" applyFill="1" applyBorder="1" applyAlignment="1">
      <alignment horizontal="center"/>
    </xf>
    <xf numFmtId="43" fontId="6" fillId="3" borderId="10" xfId="0" applyNumberFormat="1" applyFon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 wrapText="1"/>
    </xf>
    <xf numFmtId="165" fontId="0" fillId="4" borderId="7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3" fontId="0" fillId="0" borderId="7" xfId="0" applyNumberFormat="1" applyBorder="1" applyAlignment="1">
      <alignment horizont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0" fillId="0" borderId="0" xfId="0" applyNumberForma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0" fillId="0" borderId="0" xfId="0" applyFont="1"/>
    <xf numFmtId="14" fontId="10" fillId="0" borderId="0" xfId="0" applyNumberFormat="1" applyFont="1"/>
    <xf numFmtId="0" fontId="10" fillId="0" borderId="0" xfId="0" applyNumberFormat="1" applyFont="1" applyAlignment="1">
      <alignment horizontal="center" vertical="center"/>
    </xf>
    <xf numFmtId="2" fontId="10" fillId="0" borderId="0" xfId="0" applyNumberFormat="1" applyFont="1"/>
    <xf numFmtId="0" fontId="1" fillId="0" borderId="7" xfId="0" applyFont="1" applyBorder="1" applyAlignment="1">
      <alignment horizontal="center"/>
    </xf>
    <xf numFmtId="14" fontId="9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NumberFormat="1" applyFont="1" applyAlignment="1">
      <alignment horizontal="center" vertical="center"/>
    </xf>
    <xf numFmtId="0" fontId="11" fillId="0" borderId="0" xfId="0" applyFont="1"/>
    <xf numFmtId="14" fontId="10" fillId="0" borderId="0" xfId="0" applyNumberFormat="1" applyFont="1" applyAlignment="1">
      <alignment horizontal="center" vertical="center" wrapText="1"/>
    </xf>
  </cellXfs>
  <cellStyles count="3">
    <cellStyle name="Milliers" xfId="1" builtinId="3"/>
    <cellStyle name="Milliers 2" xfId="2"/>
    <cellStyle name="Normal" xfId="0" builtinId="0"/>
  </cellStyles>
  <dxfs count="10">
    <dxf>
      <border>
        <bottom style="thin">
          <color rgb="FF005EB8"/>
        </bottom>
        <vertical/>
        <horizontal/>
      </border>
    </dxf>
    <dxf>
      <fill>
        <patternFill>
          <bgColor theme="0" tint="-0.24994659260841701"/>
        </patternFill>
      </fill>
    </dxf>
    <dxf>
      <border>
        <bottom style="thin">
          <color rgb="FF005EB8"/>
        </bottom>
        <vertical/>
        <horizontal/>
      </border>
    </dxf>
    <dxf>
      <fill>
        <patternFill>
          <bgColor theme="0" tint="-0.24994659260841701"/>
        </patternFill>
      </fill>
    </dxf>
    <dxf>
      <border>
        <bottom style="thin">
          <color rgb="FF005EB8"/>
        </bottom>
        <vertical/>
        <horizontal/>
      </border>
    </dxf>
    <dxf>
      <fill>
        <patternFill>
          <bgColor theme="0" tint="-0.24994659260841701"/>
        </patternFill>
      </fill>
    </dxf>
    <dxf>
      <border>
        <bottom style="thin">
          <color rgb="FF005EB8"/>
        </bottom>
        <vertical/>
        <horizontal/>
      </border>
    </dxf>
    <dxf>
      <fill>
        <patternFill>
          <bgColor theme="0" tint="-0.24994659260841701"/>
        </patternFill>
      </fill>
    </dxf>
    <dxf>
      <border>
        <bottom style="thin">
          <color rgb="FF005EB8"/>
        </bottom>
        <vertical/>
        <horizontal/>
      </border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16106350664693E-2"/>
          <c:y val="4.3603408810484953E-2"/>
          <c:w val="0.62917930611904671"/>
          <c:h val="0.72619817398501174"/>
        </c:manualLayout>
      </c:layout>
      <c:lineChart>
        <c:grouping val="standard"/>
        <c:varyColors val="0"/>
        <c:ser>
          <c:idx val="0"/>
          <c:order val="0"/>
          <c:tx>
            <c:strRef>
              <c:f>'comparaison des productions'!$A$6</c:f>
              <c:strCache>
                <c:ptCount val="1"/>
                <c:pt idx="0">
                  <c:v>Centrale N°1 SCI-SFPO</c:v>
                </c:pt>
              </c:strCache>
            </c:strRef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none"/>
          </c:marker>
          <c:cat>
            <c:strRef>
              <c:f>'comparaison des productions'!$B$5:$M$5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 </c:v>
                </c:pt>
              </c:strCache>
            </c:strRef>
          </c:cat>
          <c:val>
            <c:numRef>
              <c:f>'comparaison des productions'!$B$6:$M$6</c:f>
              <c:numCache>
                <c:formatCode>0</c:formatCode>
                <c:ptCount val="12"/>
                <c:pt idx="0">
                  <c:v>86.82634730538922</c:v>
                </c:pt>
                <c:pt idx="1">
                  <c:v>121.56057494866531</c:v>
                </c:pt>
                <c:pt idx="2">
                  <c:v>63.42015855039638</c:v>
                </c:pt>
                <c:pt idx="3">
                  <c:v>95.195246179966048</c:v>
                </c:pt>
                <c:pt idx="4">
                  <c:v>108.43032159264932</c:v>
                </c:pt>
                <c:pt idx="5">
                  <c:v>89.688346883468824</c:v>
                </c:pt>
                <c:pt idx="6">
                  <c:v>88.55194805194806</c:v>
                </c:pt>
                <c:pt idx="7">
                  <c:v>90.82181259600614</c:v>
                </c:pt>
                <c:pt idx="8">
                  <c:v>97.579681274900395</c:v>
                </c:pt>
                <c:pt idx="9">
                  <c:v>102.52307692307691</c:v>
                </c:pt>
                <c:pt idx="10">
                  <c:v>88.034398034398038</c:v>
                </c:pt>
                <c:pt idx="11">
                  <c:v>90.547945205479436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'comparaison des productions'!$A$7</c:f>
              <c:strCache>
                <c:ptCount val="1"/>
                <c:pt idx="0">
                  <c:v>Centrale N°2 école Dolus </c:v>
                </c:pt>
              </c:strCache>
            </c:strRef>
          </c:tx>
          <c:marker>
            <c:symbol val="none"/>
          </c:marker>
          <c:cat>
            <c:strRef>
              <c:f>'comparaison des productions'!$B$5:$M$5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 </c:v>
                </c:pt>
              </c:strCache>
            </c:strRef>
          </c:cat>
          <c:val>
            <c:numRef>
              <c:f>'comparaison des productions'!$B$7:$M$7</c:f>
              <c:numCache>
                <c:formatCode>0</c:formatCode>
                <c:ptCount val="12"/>
                <c:pt idx="0">
                  <c:v>82.749326145552558</c:v>
                </c:pt>
                <c:pt idx="1">
                  <c:v>123.47328244274809</c:v>
                </c:pt>
                <c:pt idx="2">
                  <c:v>84.722222222222214</c:v>
                </c:pt>
                <c:pt idx="3">
                  <c:v>97.283849918433944</c:v>
                </c:pt>
                <c:pt idx="4">
                  <c:v>102.80359820089954</c:v>
                </c:pt>
                <c:pt idx="5">
                  <c:v>81.240827218145427</c:v>
                </c:pt>
                <c:pt idx="6">
                  <c:v>82.236340533672177</c:v>
                </c:pt>
                <c:pt idx="7">
                  <c:v>85.698447893569835</c:v>
                </c:pt>
                <c:pt idx="8">
                  <c:v>93.53817504655494</c:v>
                </c:pt>
                <c:pt idx="9">
                  <c:v>98.124137931034483</c:v>
                </c:pt>
                <c:pt idx="10">
                  <c:v>82.934782608695656</c:v>
                </c:pt>
                <c:pt idx="11">
                  <c:v>83.058823529411768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'comparaison des productions'!$A$8</c:f>
              <c:strCache>
                <c:ptCount val="1"/>
                <c:pt idx="0">
                  <c:v>Centrale N°3 Les jardins de la Josière</c:v>
                </c:pt>
              </c:strCache>
            </c:strRef>
          </c:tx>
          <c:marker>
            <c:symbol val="none"/>
          </c:marker>
          <c:cat>
            <c:strRef>
              <c:f>'comparaison des productions'!$B$5:$M$5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 </c:v>
                </c:pt>
              </c:strCache>
            </c:strRef>
          </c:cat>
          <c:val>
            <c:numRef>
              <c:f>'comparaison des productions'!$B$8:$M$8</c:f>
              <c:numCache>
                <c:formatCode>0</c:formatCode>
                <c:ptCount val="12"/>
                <c:pt idx="0">
                  <c:v>94.451145958986729</c:v>
                </c:pt>
                <c:pt idx="1">
                  <c:v>145.80759046778465</c:v>
                </c:pt>
                <c:pt idx="2">
                  <c:v>99.440037330844604</c:v>
                </c:pt>
                <c:pt idx="3">
                  <c:v>111.58536585365854</c:v>
                </c:pt>
                <c:pt idx="4">
                  <c:v>124.28786964393481</c:v>
                </c:pt>
                <c:pt idx="5">
                  <c:v>104.57554725040043</c:v>
                </c:pt>
                <c:pt idx="6">
                  <c:v>98.095238095238102</c:v>
                </c:pt>
                <c:pt idx="7">
                  <c:v>100.02083953557606</c:v>
                </c:pt>
                <c:pt idx="8">
                  <c:v>100.76383763837637</c:v>
                </c:pt>
                <c:pt idx="9">
                  <c:v>97.022860180754918</c:v>
                </c:pt>
                <c:pt idx="10">
                  <c:v>85.961705831157531</c:v>
                </c:pt>
                <c:pt idx="11">
                  <c:v>90.615763546798021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'comparaison des productions'!$A$9</c:f>
              <c:strCache>
                <c:ptCount val="1"/>
                <c:pt idx="0">
                  <c:v>Centrale N°4 Massé </c:v>
                </c:pt>
              </c:strCache>
            </c:strRef>
          </c:tx>
          <c:marker>
            <c:symbol val="none"/>
          </c:marker>
          <c:cat>
            <c:strRef>
              <c:f>'comparaison des productions'!$B$5:$M$5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 </c:v>
                </c:pt>
              </c:strCache>
            </c:strRef>
          </c:cat>
          <c:val>
            <c:numRef>
              <c:f>'comparaison des productions'!$B$9:$M$9</c:f>
              <c:numCache>
                <c:formatCode>0</c:formatCode>
                <c:ptCount val="12"/>
                <c:pt idx="0">
                  <c:v>91.079545454545467</c:v>
                </c:pt>
                <c:pt idx="1">
                  <c:v>135.22299306243806</c:v>
                </c:pt>
                <c:pt idx="2">
                  <c:v>95.269168026101141</c:v>
                </c:pt>
                <c:pt idx="3">
                  <c:v>112.19117051437829</c:v>
                </c:pt>
                <c:pt idx="4">
                  <c:v>123.41669731518941</c:v>
                </c:pt>
                <c:pt idx="5">
                  <c:v>103.59934853420197</c:v>
                </c:pt>
                <c:pt idx="6">
                  <c:v>89.06405472636817</c:v>
                </c:pt>
                <c:pt idx="7">
                  <c:v>95.439560439560438</c:v>
                </c:pt>
                <c:pt idx="8">
                  <c:v>95.26315789473685</c:v>
                </c:pt>
                <c:pt idx="9">
                  <c:v>94.404846756949397</c:v>
                </c:pt>
                <c:pt idx="10">
                  <c:v>76.491428571428571</c:v>
                </c:pt>
                <c:pt idx="11">
                  <c:v>75.418641390205366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'comparaison des productions'!$A$10</c:f>
              <c:strCache>
                <c:ptCount val="1"/>
                <c:pt idx="0">
                  <c:v>Centrale N°5 Badou-Doucet</c:v>
                </c:pt>
              </c:strCache>
            </c:strRef>
          </c:tx>
          <c:marker>
            <c:symbol val="none"/>
          </c:marker>
          <c:cat>
            <c:strRef>
              <c:f>'comparaison des productions'!$B$5:$M$5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 </c:v>
                </c:pt>
              </c:strCache>
            </c:strRef>
          </c:cat>
          <c:val>
            <c:numRef>
              <c:f>'comparaison des productions'!$B$10:$M$10</c:f>
              <c:numCache>
                <c:formatCode>General</c:formatCode>
                <c:ptCount val="12"/>
                <c:pt idx="4" formatCode="0">
                  <c:v>90.32882011605416</c:v>
                </c:pt>
                <c:pt idx="5" formatCode="0">
                  <c:v>96.225502056617472</c:v>
                </c:pt>
                <c:pt idx="6" formatCode="0">
                  <c:v>95.386042198006024</c:v>
                </c:pt>
                <c:pt idx="7" formatCode="0">
                  <c:v>99.075112107623326</c:v>
                </c:pt>
                <c:pt idx="8" formatCode="0">
                  <c:v>98.40976331360946</c:v>
                </c:pt>
                <c:pt idx="9" formatCode="0">
                  <c:v>97.116493656286039</c:v>
                </c:pt>
                <c:pt idx="10" formatCode="0">
                  <c:v>70.163618864292587</c:v>
                </c:pt>
                <c:pt idx="11" formatCode="0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60672"/>
        <c:axId val="119262208"/>
      </c:lineChart>
      <c:catAx>
        <c:axId val="119260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9262208"/>
        <c:crosses val="autoZero"/>
        <c:auto val="1"/>
        <c:lblAlgn val="ctr"/>
        <c:lblOffset val="100"/>
        <c:noMultiLvlLbl val="0"/>
      </c:catAx>
      <c:valAx>
        <c:axId val="119262208"/>
        <c:scaling>
          <c:orientation val="minMax"/>
          <c:max val="160"/>
          <c:min val="6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9260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25514274614588E-2"/>
          <c:y val="3.2980143786374531E-2"/>
          <c:w val="0.63608238500873315"/>
          <c:h val="0.8690066187378751"/>
        </c:manualLayout>
      </c:layout>
      <c:lineChart>
        <c:grouping val="standard"/>
        <c:varyColors val="0"/>
        <c:ser>
          <c:idx val="0"/>
          <c:order val="0"/>
          <c:tx>
            <c:strRef>
              <c:f>'comparaison des productions'!$A$37</c:f>
              <c:strCache>
                <c:ptCount val="1"/>
                <c:pt idx="0">
                  <c:v>Centrale N°1 SCI-SFPO</c:v>
                </c:pt>
              </c:strCache>
            </c:strRef>
          </c:tx>
          <c:marker>
            <c:symbol val="none"/>
          </c:marker>
          <c:cat>
            <c:strRef>
              <c:f>'comparaison des productions'!$B$36:$M$36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'comparaison des productions'!$B$37:$M$37</c:f>
              <c:numCache>
                <c:formatCode>0</c:formatCode>
                <c:ptCount val="12"/>
                <c:pt idx="0">
                  <c:v>95.688622754491021</c:v>
                </c:pt>
                <c:pt idx="1">
                  <c:v>78.685831622176593</c:v>
                </c:pt>
                <c:pt idx="2">
                  <c:v>89.784824462061152</c:v>
                </c:pt>
                <c:pt idx="3">
                  <c:v>95.492359932088291</c:v>
                </c:pt>
                <c:pt idx="4">
                  <c:v>94.027565084226651</c:v>
                </c:pt>
                <c:pt idx="5">
                  <c:v>84.972899728997291</c:v>
                </c:pt>
                <c:pt idx="6">
                  <c:v>88.987012987012989</c:v>
                </c:pt>
                <c:pt idx="7">
                  <c:v>90.138248847926263</c:v>
                </c:pt>
                <c:pt idx="8">
                  <c:v>85.846613545816723</c:v>
                </c:pt>
                <c:pt idx="9">
                  <c:v>83.907692307692301</c:v>
                </c:pt>
                <c:pt idx="10">
                  <c:v>96.830466830466833</c:v>
                </c:pt>
                <c:pt idx="11">
                  <c:v>94.452054794520564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'comparaison des productions'!$A$38</c:f>
              <c:strCache>
                <c:ptCount val="1"/>
                <c:pt idx="0">
                  <c:v>Centrale N°2 école Dolus </c:v>
                </c:pt>
              </c:strCache>
            </c:strRef>
          </c:tx>
          <c:marker>
            <c:symbol val="none"/>
          </c:marker>
          <c:cat>
            <c:strRef>
              <c:f>'comparaison des productions'!$B$36:$M$36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'comparaison des productions'!$B$38:$M$38</c:f>
              <c:numCache>
                <c:formatCode>0</c:formatCode>
                <c:ptCount val="12"/>
                <c:pt idx="0">
                  <c:v>93.881401617250688</c:v>
                </c:pt>
                <c:pt idx="1">
                  <c:v>76.125954198473281</c:v>
                </c:pt>
                <c:pt idx="2">
                  <c:v>84.871794871794876</c:v>
                </c:pt>
                <c:pt idx="3">
                  <c:v>91.908646003262646</c:v>
                </c:pt>
                <c:pt idx="4">
                  <c:v>73.283358320839582</c:v>
                </c:pt>
                <c:pt idx="5">
                  <c:v>51.694462975316881</c:v>
                </c:pt>
                <c:pt idx="6">
                  <c:v>70.533672172808139</c:v>
                </c:pt>
                <c:pt idx="7">
                  <c:v>86.711012564671108</c:v>
                </c:pt>
                <c:pt idx="8">
                  <c:v>80.828677839851025</c:v>
                </c:pt>
                <c:pt idx="9">
                  <c:v>78.41379310344827</c:v>
                </c:pt>
                <c:pt idx="10">
                  <c:v>96.021739130434781</c:v>
                </c:pt>
                <c:pt idx="11">
                  <c:v>95.911764705882362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'comparaison des productions'!$A$39</c:f>
              <c:strCache>
                <c:ptCount val="1"/>
                <c:pt idx="0">
                  <c:v>Centrale N°3 Les jardins de la Josière</c:v>
                </c:pt>
              </c:strCache>
            </c:strRef>
          </c:tx>
          <c:marker>
            <c:symbol val="none"/>
          </c:marker>
          <c:cat>
            <c:strRef>
              <c:f>'comparaison des productions'!$B$36:$M$36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'comparaison des productions'!$B$39:$M$39</c:f>
              <c:numCache>
                <c:formatCode>0</c:formatCode>
                <c:ptCount val="12"/>
                <c:pt idx="0">
                  <c:v>105.12665862484923</c:v>
                </c:pt>
                <c:pt idx="1">
                  <c:v>93.64518976169461</c:v>
                </c:pt>
                <c:pt idx="2">
                  <c:v>99.962669155389634</c:v>
                </c:pt>
                <c:pt idx="3">
                  <c:v>105.48450889914305</c:v>
                </c:pt>
                <c:pt idx="4">
                  <c:v>99.248642124321066</c:v>
                </c:pt>
                <c:pt idx="5">
                  <c:v>101.59636946075814</c:v>
                </c:pt>
                <c:pt idx="6">
                  <c:v>98.751266464032412</c:v>
                </c:pt>
                <c:pt idx="7">
                  <c:v>102.60494194700804</c:v>
                </c:pt>
                <c:pt idx="8">
                  <c:v>87.20295202952029</c:v>
                </c:pt>
                <c:pt idx="9">
                  <c:v>81.499202551834131</c:v>
                </c:pt>
                <c:pt idx="10">
                  <c:v>94.438642297650119</c:v>
                </c:pt>
                <c:pt idx="11">
                  <c:v>96.995073891625623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'comparaison des productions'!$A$40</c:f>
              <c:strCache>
                <c:ptCount val="1"/>
                <c:pt idx="0">
                  <c:v>Centrale N°4 Massé </c:v>
                </c:pt>
              </c:strCache>
            </c:strRef>
          </c:tx>
          <c:marker>
            <c:symbol val="none"/>
          </c:marker>
          <c:cat>
            <c:strRef>
              <c:f>'comparaison des productions'!$B$36:$M$36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'comparaison des productions'!$B$40:$M$40</c:f>
              <c:numCache>
                <c:formatCode>0</c:formatCode>
                <c:ptCount val="12"/>
                <c:pt idx="0">
                  <c:v>83.196022727272734</c:v>
                </c:pt>
                <c:pt idx="1">
                  <c:v>76.580773042616457</c:v>
                </c:pt>
                <c:pt idx="2">
                  <c:v>87.232191408374121</c:v>
                </c:pt>
                <c:pt idx="3">
                  <c:v>98.894289185905222</c:v>
                </c:pt>
                <c:pt idx="4">
                  <c:v>97.977197499080546</c:v>
                </c:pt>
                <c:pt idx="5">
                  <c:v>96.553745928338756</c:v>
                </c:pt>
                <c:pt idx="6">
                  <c:v>95.75248756218906</c:v>
                </c:pt>
                <c:pt idx="7">
                  <c:v>98.655677655677664</c:v>
                </c:pt>
                <c:pt idx="8">
                  <c:v>83.002819548872182</c:v>
                </c:pt>
                <c:pt idx="9">
                  <c:v>77.077690662865294</c:v>
                </c:pt>
                <c:pt idx="10">
                  <c:v>86.754285714285714</c:v>
                </c:pt>
                <c:pt idx="11">
                  <c:v>82.260663507109015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'comparaison des productions'!$A$41</c:f>
              <c:strCache>
                <c:ptCount val="1"/>
                <c:pt idx="0">
                  <c:v>Centrale N°5 Badou-Doucet</c:v>
                </c:pt>
              </c:strCache>
            </c:strRef>
          </c:tx>
          <c:marker>
            <c:symbol val="none"/>
          </c:marker>
          <c:cat>
            <c:strRef>
              <c:f>'comparaison des productions'!$B$36:$M$36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'comparaison des productions'!$B$41:$M$41</c:f>
              <c:numCache>
                <c:formatCode>#,##0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90.549875656258635</c:v>
                </c:pt>
                <c:pt idx="5">
                  <c:v>101.59690297604647</c:v>
                </c:pt>
                <c:pt idx="6">
                  <c:v>94.018084859726414</c:v>
                </c:pt>
                <c:pt idx="7">
                  <c:v>92.096412556053806</c:v>
                </c:pt>
                <c:pt idx="8">
                  <c:v>64.164201183431956</c:v>
                </c:pt>
                <c:pt idx="9">
                  <c:v>71.626297577854672</c:v>
                </c:pt>
                <c:pt idx="10">
                  <c:v>86.333012512030791</c:v>
                </c:pt>
                <c:pt idx="11">
                  <c:v>76.858345021037863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75872"/>
        <c:axId val="120577408"/>
      </c:lineChart>
      <c:catAx>
        <c:axId val="120575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20577408"/>
        <c:crosses val="autoZero"/>
        <c:auto val="1"/>
        <c:lblAlgn val="ctr"/>
        <c:lblOffset val="100"/>
        <c:noMultiLvlLbl val="0"/>
      </c:catAx>
      <c:valAx>
        <c:axId val="1205774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0575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'comparaison décembre 2024'!$B$4</c:f>
              <c:strCache>
                <c:ptCount val="1"/>
                <c:pt idx="0">
                  <c:v>SCI- SFPO</c:v>
                </c:pt>
              </c:strCache>
            </c:strRef>
          </c:tx>
          <c:marker>
            <c:symbol val="none"/>
          </c:marker>
          <c:cat>
            <c:numRef>
              <c:f>'comparaison décembre 2024'!$C$3:$AG$3</c:f>
              <c:numCache>
                <c:formatCode>m/d/yyyy</c:formatCode>
                <c:ptCount val="31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  <c:pt idx="30">
                  <c:v>45657</c:v>
                </c:pt>
              </c:numCache>
            </c:numRef>
          </c:cat>
          <c:val>
            <c:numRef>
              <c:f>'comparaison décembre 2024'!$C$4:$AG$4</c:f>
              <c:numCache>
                <c:formatCode>General</c:formatCode>
                <c:ptCount val="31"/>
                <c:pt idx="0">
                  <c:v>8.9329999999999998</c:v>
                </c:pt>
                <c:pt idx="1">
                  <c:v>12.884</c:v>
                </c:pt>
                <c:pt idx="2">
                  <c:v>5.3579999999999997</c:v>
                </c:pt>
                <c:pt idx="3">
                  <c:v>15.05</c:v>
                </c:pt>
                <c:pt idx="4">
                  <c:v>1.9419999999999999</c:v>
                </c:pt>
                <c:pt idx="5">
                  <c:v>10.429</c:v>
                </c:pt>
                <c:pt idx="6">
                  <c:v>6.3869999999999996</c:v>
                </c:pt>
                <c:pt idx="7">
                  <c:v>8.7769999999999992</c:v>
                </c:pt>
                <c:pt idx="8">
                  <c:v>3.964</c:v>
                </c:pt>
                <c:pt idx="9">
                  <c:v>7.5990000000000002</c:v>
                </c:pt>
                <c:pt idx="10">
                  <c:v>13.813000000000001</c:v>
                </c:pt>
                <c:pt idx="11">
                  <c:v>15.374000000000001</c:v>
                </c:pt>
                <c:pt idx="12">
                  <c:v>9.1620000000000008</c:v>
                </c:pt>
                <c:pt idx="13">
                  <c:v>11.064</c:v>
                </c:pt>
                <c:pt idx="14">
                  <c:v>14.585000000000001</c:v>
                </c:pt>
                <c:pt idx="15">
                  <c:v>14.843</c:v>
                </c:pt>
                <c:pt idx="16">
                  <c:v>8.6679999999999993</c:v>
                </c:pt>
                <c:pt idx="17">
                  <c:v>5.024</c:v>
                </c:pt>
                <c:pt idx="18">
                  <c:v>11.919</c:v>
                </c:pt>
                <c:pt idx="19">
                  <c:v>10.343</c:v>
                </c:pt>
                <c:pt idx="20">
                  <c:v>7.3380000000000001</c:v>
                </c:pt>
                <c:pt idx="21">
                  <c:v>6.726</c:v>
                </c:pt>
                <c:pt idx="22">
                  <c:v>14.893000000000001</c:v>
                </c:pt>
                <c:pt idx="23">
                  <c:v>3.895</c:v>
                </c:pt>
                <c:pt idx="24">
                  <c:v>2.331</c:v>
                </c:pt>
                <c:pt idx="25">
                  <c:v>14.752000000000001</c:v>
                </c:pt>
                <c:pt idx="26">
                  <c:v>2.774</c:v>
                </c:pt>
                <c:pt idx="27">
                  <c:v>5.0970000000000004</c:v>
                </c:pt>
                <c:pt idx="28">
                  <c:v>5.8170000000000002</c:v>
                </c:pt>
                <c:pt idx="29">
                  <c:v>4.7969999999999997</c:v>
                </c:pt>
                <c:pt idx="30">
                  <c:v>11.23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'comparaison décembre 2024'!$B$5</c:f>
              <c:strCache>
                <c:ptCount val="1"/>
                <c:pt idx="0">
                  <c:v>Dolus</c:v>
                </c:pt>
              </c:strCache>
            </c:strRef>
          </c:tx>
          <c:marker>
            <c:symbol val="none"/>
          </c:marker>
          <c:cat>
            <c:numRef>
              <c:f>'comparaison décembre 2024'!$C$3:$AG$3</c:f>
              <c:numCache>
                <c:formatCode>m/d/yyyy</c:formatCode>
                <c:ptCount val="31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  <c:pt idx="30">
                  <c:v>45657</c:v>
                </c:pt>
              </c:numCache>
            </c:numRef>
          </c:cat>
          <c:val>
            <c:numRef>
              <c:f>'comparaison décembre 2024'!$C$5:$AG$5</c:f>
              <c:numCache>
                <c:formatCode>General</c:formatCode>
                <c:ptCount val="31"/>
                <c:pt idx="0">
                  <c:v>10.435</c:v>
                </c:pt>
                <c:pt idx="1">
                  <c:v>16.489000000000001</c:v>
                </c:pt>
                <c:pt idx="2">
                  <c:v>5.4219999999999997</c:v>
                </c:pt>
                <c:pt idx="3">
                  <c:v>19.823</c:v>
                </c:pt>
                <c:pt idx="4">
                  <c:v>1.4359999999999999</c:v>
                </c:pt>
                <c:pt idx="5">
                  <c:v>12.551</c:v>
                </c:pt>
                <c:pt idx="6">
                  <c:v>7.1420000000000003</c:v>
                </c:pt>
                <c:pt idx="7">
                  <c:v>10.265000000000001</c:v>
                </c:pt>
                <c:pt idx="8">
                  <c:v>4.1180000000000003</c:v>
                </c:pt>
                <c:pt idx="9">
                  <c:v>10.387</c:v>
                </c:pt>
                <c:pt idx="10">
                  <c:v>17.417000000000002</c:v>
                </c:pt>
                <c:pt idx="11">
                  <c:v>20.442</c:v>
                </c:pt>
                <c:pt idx="12">
                  <c:v>11.695</c:v>
                </c:pt>
                <c:pt idx="13">
                  <c:v>13.856999999999999</c:v>
                </c:pt>
                <c:pt idx="14">
                  <c:v>19.613</c:v>
                </c:pt>
                <c:pt idx="15">
                  <c:v>19.620999999999999</c:v>
                </c:pt>
                <c:pt idx="16">
                  <c:v>9.5739999999999998</c:v>
                </c:pt>
                <c:pt idx="17">
                  <c:v>5.0679999999999996</c:v>
                </c:pt>
                <c:pt idx="18">
                  <c:v>14.894</c:v>
                </c:pt>
                <c:pt idx="19">
                  <c:v>13.013</c:v>
                </c:pt>
                <c:pt idx="20">
                  <c:v>7.819</c:v>
                </c:pt>
                <c:pt idx="21">
                  <c:v>7.25</c:v>
                </c:pt>
                <c:pt idx="22">
                  <c:v>10.36</c:v>
                </c:pt>
                <c:pt idx="23">
                  <c:v>3.7669999999999999</c:v>
                </c:pt>
                <c:pt idx="24">
                  <c:v>1.823</c:v>
                </c:pt>
                <c:pt idx="25">
                  <c:v>19.105</c:v>
                </c:pt>
                <c:pt idx="26">
                  <c:v>2.5259999999999998</c:v>
                </c:pt>
                <c:pt idx="27">
                  <c:v>4.3979999999999997</c:v>
                </c:pt>
                <c:pt idx="28">
                  <c:v>6.577</c:v>
                </c:pt>
                <c:pt idx="29">
                  <c:v>4.3959999999999999</c:v>
                </c:pt>
                <c:pt idx="30">
                  <c:v>14.845000000000001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'comparaison décembre 2024'!$B$6</c:f>
              <c:strCache>
                <c:ptCount val="1"/>
                <c:pt idx="0">
                  <c:v>Massé </c:v>
                </c:pt>
              </c:strCache>
            </c:strRef>
          </c:tx>
          <c:marker>
            <c:symbol val="none"/>
          </c:marker>
          <c:cat>
            <c:numRef>
              <c:f>'comparaison décembre 2024'!$C$3:$AG$3</c:f>
              <c:numCache>
                <c:formatCode>m/d/yyyy</c:formatCode>
                <c:ptCount val="31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  <c:pt idx="30">
                  <c:v>45657</c:v>
                </c:pt>
              </c:numCache>
            </c:numRef>
          </c:cat>
          <c:val>
            <c:numRef>
              <c:f>'comparaison décembre 2024'!$C$6:$AG$6</c:f>
              <c:numCache>
                <c:formatCode>General</c:formatCode>
                <c:ptCount val="31"/>
                <c:pt idx="0">
                  <c:v>18.291</c:v>
                </c:pt>
                <c:pt idx="1">
                  <c:v>23.501999999999999</c:v>
                </c:pt>
                <c:pt idx="2">
                  <c:v>11.566000000000001</c:v>
                </c:pt>
                <c:pt idx="3">
                  <c:v>28.704999999999998</c:v>
                </c:pt>
                <c:pt idx="4">
                  <c:v>4.1790000000000003</c:v>
                </c:pt>
                <c:pt idx="5">
                  <c:v>19.861000000000001</c:v>
                </c:pt>
                <c:pt idx="6">
                  <c:v>12.653</c:v>
                </c:pt>
                <c:pt idx="7">
                  <c:v>17.558</c:v>
                </c:pt>
                <c:pt idx="8">
                  <c:v>8.2319999999999993</c:v>
                </c:pt>
                <c:pt idx="9">
                  <c:v>14.573</c:v>
                </c:pt>
                <c:pt idx="10">
                  <c:v>23.957000000000001</c:v>
                </c:pt>
                <c:pt idx="11">
                  <c:v>26.931000000000001</c:v>
                </c:pt>
                <c:pt idx="12">
                  <c:v>16.739000000000001</c:v>
                </c:pt>
                <c:pt idx="13">
                  <c:v>22.03</c:v>
                </c:pt>
                <c:pt idx="14">
                  <c:v>25.436</c:v>
                </c:pt>
                <c:pt idx="15">
                  <c:v>26.652999999999999</c:v>
                </c:pt>
                <c:pt idx="16">
                  <c:v>16.114999999999998</c:v>
                </c:pt>
                <c:pt idx="17">
                  <c:v>9.8740000000000006</c:v>
                </c:pt>
                <c:pt idx="18">
                  <c:v>21.812000000000001</c:v>
                </c:pt>
                <c:pt idx="19">
                  <c:v>19.14</c:v>
                </c:pt>
                <c:pt idx="20">
                  <c:v>14.574999999999999</c:v>
                </c:pt>
                <c:pt idx="21">
                  <c:v>13.433</c:v>
                </c:pt>
                <c:pt idx="22">
                  <c:v>26.053000000000001</c:v>
                </c:pt>
                <c:pt idx="23">
                  <c:v>8.4559999999999995</c:v>
                </c:pt>
                <c:pt idx="24">
                  <c:v>4.952</c:v>
                </c:pt>
                <c:pt idx="25">
                  <c:v>25.442</c:v>
                </c:pt>
                <c:pt idx="26">
                  <c:v>5.96</c:v>
                </c:pt>
                <c:pt idx="27">
                  <c:v>10.715999999999999</c:v>
                </c:pt>
                <c:pt idx="28">
                  <c:v>11.981999999999999</c:v>
                </c:pt>
                <c:pt idx="29">
                  <c:v>10.260999999999999</c:v>
                </c:pt>
                <c:pt idx="30">
                  <c:v>21.071999999999999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'comparaison décembre 2024'!$B$7</c:f>
              <c:strCache>
                <c:ptCount val="1"/>
                <c:pt idx="0">
                  <c:v>La Josière</c:v>
                </c:pt>
              </c:strCache>
            </c:strRef>
          </c:tx>
          <c:marker>
            <c:symbol val="none"/>
          </c:marker>
          <c:cat>
            <c:numRef>
              <c:f>'comparaison décembre 2024'!$C$3:$AG$3</c:f>
              <c:numCache>
                <c:formatCode>m/d/yyyy</c:formatCode>
                <c:ptCount val="31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  <c:pt idx="30">
                  <c:v>45657</c:v>
                </c:pt>
              </c:numCache>
            </c:numRef>
          </c:cat>
          <c:val>
            <c:numRef>
              <c:f>'comparaison décembre 2024'!$C$7:$AG$7</c:f>
              <c:numCache>
                <c:formatCode>General</c:formatCode>
                <c:ptCount val="31"/>
                <c:pt idx="0">
                  <c:v>22.913</c:v>
                </c:pt>
                <c:pt idx="1">
                  <c:v>41.619</c:v>
                </c:pt>
                <c:pt idx="2">
                  <c:v>14.746</c:v>
                </c:pt>
                <c:pt idx="3">
                  <c:v>48.427</c:v>
                </c:pt>
                <c:pt idx="4">
                  <c:v>6.9610000000000003</c:v>
                </c:pt>
                <c:pt idx="5">
                  <c:v>32.331000000000003</c:v>
                </c:pt>
                <c:pt idx="6">
                  <c:v>17.902999999999999</c:v>
                </c:pt>
                <c:pt idx="7">
                  <c:v>25.956</c:v>
                </c:pt>
                <c:pt idx="8">
                  <c:v>11.255000000000001</c:v>
                </c:pt>
                <c:pt idx="9">
                  <c:v>12.909000000000001</c:v>
                </c:pt>
                <c:pt idx="10">
                  <c:v>33.006999999999998</c:v>
                </c:pt>
                <c:pt idx="11">
                  <c:v>44.954000000000001</c:v>
                </c:pt>
                <c:pt idx="12">
                  <c:v>20.414000000000001</c:v>
                </c:pt>
                <c:pt idx="13">
                  <c:v>35.713999999999999</c:v>
                </c:pt>
                <c:pt idx="14">
                  <c:v>41.884999999999998</c:v>
                </c:pt>
                <c:pt idx="15">
                  <c:v>45.381</c:v>
                </c:pt>
                <c:pt idx="16">
                  <c:v>25.012</c:v>
                </c:pt>
                <c:pt idx="17">
                  <c:v>11.292</c:v>
                </c:pt>
                <c:pt idx="18">
                  <c:v>32.417000000000002</c:v>
                </c:pt>
                <c:pt idx="19">
                  <c:v>31.864999999999998</c:v>
                </c:pt>
                <c:pt idx="20">
                  <c:v>22.276</c:v>
                </c:pt>
                <c:pt idx="21">
                  <c:v>19.690999999999999</c:v>
                </c:pt>
                <c:pt idx="22">
                  <c:v>42.956000000000003</c:v>
                </c:pt>
                <c:pt idx="23">
                  <c:v>11.294</c:v>
                </c:pt>
                <c:pt idx="24">
                  <c:v>7.2220000000000004</c:v>
                </c:pt>
                <c:pt idx="25">
                  <c:v>35.146999999999998</c:v>
                </c:pt>
                <c:pt idx="26">
                  <c:v>7.6769999999999996</c:v>
                </c:pt>
                <c:pt idx="27">
                  <c:v>17.765999999999998</c:v>
                </c:pt>
                <c:pt idx="28">
                  <c:v>19.899000000000001</c:v>
                </c:pt>
                <c:pt idx="29">
                  <c:v>14.236000000000001</c:v>
                </c:pt>
                <c:pt idx="30">
                  <c:v>32.47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28128"/>
        <c:axId val="120929664"/>
      </c:lineChart>
      <c:dateAx>
        <c:axId val="120928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20929664"/>
        <c:crosses val="autoZero"/>
        <c:auto val="1"/>
        <c:lblOffset val="100"/>
        <c:baseTimeUnit val="days"/>
      </c:dateAx>
      <c:valAx>
        <c:axId val="120929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928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fr-F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211395235713417E-2"/>
          <c:y val="1.5292826183905761E-2"/>
          <c:w val="0.86762262521072175"/>
          <c:h val="0.88824372673818874"/>
        </c:manualLayout>
      </c:layout>
      <c:lineChart>
        <c:grouping val="standard"/>
        <c:varyColors val="0"/>
        <c:ser>
          <c:idx val="0"/>
          <c:order val="0"/>
          <c:tx>
            <c:strRef>
              <c:f>'comparaison janvier 2025'!$A$3:$B$3</c:f>
              <c:strCache>
                <c:ptCount val="1"/>
                <c:pt idx="0">
                  <c:v>SCI-SFPO</c:v>
                </c:pt>
              </c:strCache>
            </c:strRef>
          </c:tx>
          <c:marker>
            <c:symbol val="none"/>
          </c:marker>
          <c:cat>
            <c:strRef>
              <c:f>'comparaison janvier 2025'!$C$2:$AG$2</c:f>
              <c:strCache>
                <c:ptCount val="31"/>
                <c:pt idx="0">
                  <c:v>01/01/2025</c:v>
                </c:pt>
                <c:pt idx="1">
                  <c:v>02/01/2025</c:v>
                </c:pt>
                <c:pt idx="2">
                  <c:v>03/01/2025</c:v>
                </c:pt>
                <c:pt idx="3">
                  <c:v>04/01/2025</c:v>
                </c:pt>
                <c:pt idx="4">
                  <c:v>05/01/2025</c:v>
                </c:pt>
                <c:pt idx="5">
                  <c:v>06/01/2025</c:v>
                </c:pt>
                <c:pt idx="6">
                  <c:v>07/01/2025</c:v>
                </c:pt>
                <c:pt idx="7">
                  <c:v>08/01/2025</c:v>
                </c:pt>
                <c:pt idx="8">
                  <c:v>09/01/2025</c:v>
                </c:pt>
                <c:pt idx="9">
                  <c:v>10/01/2025</c:v>
                </c:pt>
                <c:pt idx="10">
                  <c:v>11/01/2025</c:v>
                </c:pt>
                <c:pt idx="11">
                  <c:v>12/01/2025</c:v>
                </c:pt>
                <c:pt idx="12">
                  <c:v>13/01/2025</c:v>
                </c:pt>
                <c:pt idx="13">
                  <c:v>14/01/2025</c:v>
                </c:pt>
                <c:pt idx="14">
                  <c:v>15/01/2025</c:v>
                </c:pt>
                <c:pt idx="15">
                  <c:v>16/01/2025</c:v>
                </c:pt>
                <c:pt idx="16">
                  <c:v>17/01/2025</c:v>
                </c:pt>
                <c:pt idx="17">
                  <c:v>18/01/2025</c:v>
                </c:pt>
                <c:pt idx="18">
                  <c:v>19/01/2025</c:v>
                </c:pt>
                <c:pt idx="19">
                  <c:v>20/01/2025</c:v>
                </c:pt>
                <c:pt idx="20">
                  <c:v>21/01/2025</c:v>
                </c:pt>
                <c:pt idx="21">
                  <c:v>22/01/2025</c:v>
                </c:pt>
                <c:pt idx="22">
                  <c:v>23/01/2025</c:v>
                </c:pt>
                <c:pt idx="23">
                  <c:v>24/01/2025</c:v>
                </c:pt>
                <c:pt idx="24">
                  <c:v>25/01/2025</c:v>
                </c:pt>
                <c:pt idx="25">
                  <c:v>26/01/2025</c:v>
                </c:pt>
                <c:pt idx="26">
                  <c:v>27/01/2025</c:v>
                </c:pt>
                <c:pt idx="27">
                  <c:v>28/01/2025</c:v>
                </c:pt>
                <c:pt idx="28">
                  <c:v>29/01/2025</c:v>
                </c:pt>
                <c:pt idx="29">
                  <c:v>30/01/2025</c:v>
                </c:pt>
                <c:pt idx="30">
                  <c:v>31/01/2025</c:v>
                </c:pt>
              </c:strCache>
            </c:strRef>
          </c:cat>
          <c:val>
            <c:numRef>
              <c:f>'comparaison janvier 2025'!$C$3:$AG$3</c:f>
              <c:numCache>
                <c:formatCode>General</c:formatCode>
                <c:ptCount val="31"/>
                <c:pt idx="0">
                  <c:v>3.5830000000000002</c:v>
                </c:pt>
                <c:pt idx="1">
                  <c:v>1.171</c:v>
                </c:pt>
                <c:pt idx="2">
                  <c:v>3.89</c:v>
                </c:pt>
                <c:pt idx="3">
                  <c:v>1.859</c:v>
                </c:pt>
                <c:pt idx="4">
                  <c:v>4.6040000000000001</c:v>
                </c:pt>
                <c:pt idx="5">
                  <c:v>11.621</c:v>
                </c:pt>
                <c:pt idx="6">
                  <c:v>4.7039999999999997</c:v>
                </c:pt>
                <c:pt idx="7">
                  <c:v>2.8530000000000002</c:v>
                </c:pt>
                <c:pt idx="8">
                  <c:v>12.548999999999999</c:v>
                </c:pt>
                <c:pt idx="9">
                  <c:v>2.73</c:v>
                </c:pt>
                <c:pt idx="10">
                  <c:v>10.877000000000001</c:v>
                </c:pt>
                <c:pt idx="11">
                  <c:v>16.521999999999998</c:v>
                </c:pt>
                <c:pt idx="12">
                  <c:v>19.279</c:v>
                </c:pt>
                <c:pt idx="13">
                  <c:v>18.309999999999999</c:v>
                </c:pt>
                <c:pt idx="14">
                  <c:v>17.045000000000002</c:v>
                </c:pt>
                <c:pt idx="15">
                  <c:v>8.3979999999999997</c:v>
                </c:pt>
                <c:pt idx="16">
                  <c:v>18.559999999999999</c:v>
                </c:pt>
                <c:pt idx="17">
                  <c:v>3.085</c:v>
                </c:pt>
                <c:pt idx="18">
                  <c:v>18.050999999999998</c:v>
                </c:pt>
                <c:pt idx="19">
                  <c:v>17.512</c:v>
                </c:pt>
                <c:pt idx="20">
                  <c:v>8.8689999999999998</c:v>
                </c:pt>
                <c:pt idx="21">
                  <c:v>6.1180000000000003</c:v>
                </c:pt>
                <c:pt idx="22">
                  <c:v>11.771000000000001</c:v>
                </c:pt>
                <c:pt idx="23">
                  <c:v>4.468</c:v>
                </c:pt>
                <c:pt idx="24">
                  <c:v>5.9980000000000002</c:v>
                </c:pt>
                <c:pt idx="25">
                  <c:v>3</c:v>
                </c:pt>
                <c:pt idx="26">
                  <c:v>9.1579999999999995</c:v>
                </c:pt>
                <c:pt idx="27">
                  <c:v>8.5530000000000008</c:v>
                </c:pt>
                <c:pt idx="28">
                  <c:v>3.3490000000000002</c:v>
                </c:pt>
                <c:pt idx="29">
                  <c:v>6.9189999999999996</c:v>
                </c:pt>
                <c:pt idx="30">
                  <c:v>14.834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'comparaison janvier 2025'!$A$4:$B$4</c:f>
              <c:strCache>
                <c:ptCount val="1"/>
                <c:pt idx="0">
                  <c:v>Dolus</c:v>
                </c:pt>
              </c:strCache>
            </c:strRef>
          </c:tx>
          <c:marker>
            <c:symbol val="none"/>
          </c:marker>
          <c:cat>
            <c:strRef>
              <c:f>'comparaison janvier 2025'!$C$2:$AG$2</c:f>
              <c:strCache>
                <c:ptCount val="31"/>
                <c:pt idx="0">
                  <c:v>01/01/2025</c:v>
                </c:pt>
                <c:pt idx="1">
                  <c:v>02/01/2025</c:v>
                </c:pt>
                <c:pt idx="2">
                  <c:v>03/01/2025</c:v>
                </c:pt>
                <c:pt idx="3">
                  <c:v>04/01/2025</c:v>
                </c:pt>
                <c:pt idx="4">
                  <c:v>05/01/2025</c:v>
                </c:pt>
                <c:pt idx="5">
                  <c:v>06/01/2025</c:v>
                </c:pt>
                <c:pt idx="6">
                  <c:v>07/01/2025</c:v>
                </c:pt>
                <c:pt idx="7">
                  <c:v>08/01/2025</c:v>
                </c:pt>
                <c:pt idx="8">
                  <c:v>09/01/2025</c:v>
                </c:pt>
                <c:pt idx="9">
                  <c:v>10/01/2025</c:v>
                </c:pt>
                <c:pt idx="10">
                  <c:v>11/01/2025</c:v>
                </c:pt>
                <c:pt idx="11">
                  <c:v>12/01/2025</c:v>
                </c:pt>
                <c:pt idx="12">
                  <c:v>13/01/2025</c:v>
                </c:pt>
                <c:pt idx="13">
                  <c:v>14/01/2025</c:v>
                </c:pt>
                <c:pt idx="14">
                  <c:v>15/01/2025</c:v>
                </c:pt>
                <c:pt idx="15">
                  <c:v>16/01/2025</c:v>
                </c:pt>
                <c:pt idx="16">
                  <c:v>17/01/2025</c:v>
                </c:pt>
                <c:pt idx="17">
                  <c:v>18/01/2025</c:v>
                </c:pt>
                <c:pt idx="18">
                  <c:v>19/01/2025</c:v>
                </c:pt>
                <c:pt idx="19">
                  <c:v>20/01/2025</c:v>
                </c:pt>
                <c:pt idx="20">
                  <c:v>21/01/2025</c:v>
                </c:pt>
                <c:pt idx="21">
                  <c:v>22/01/2025</c:v>
                </c:pt>
                <c:pt idx="22">
                  <c:v>23/01/2025</c:v>
                </c:pt>
                <c:pt idx="23">
                  <c:v>24/01/2025</c:v>
                </c:pt>
                <c:pt idx="24">
                  <c:v>25/01/2025</c:v>
                </c:pt>
                <c:pt idx="25">
                  <c:v>26/01/2025</c:v>
                </c:pt>
                <c:pt idx="26">
                  <c:v>27/01/2025</c:v>
                </c:pt>
                <c:pt idx="27">
                  <c:v>28/01/2025</c:v>
                </c:pt>
                <c:pt idx="28">
                  <c:v>29/01/2025</c:v>
                </c:pt>
                <c:pt idx="29">
                  <c:v>30/01/2025</c:v>
                </c:pt>
                <c:pt idx="30">
                  <c:v>31/01/2025</c:v>
                </c:pt>
              </c:strCache>
            </c:strRef>
          </c:cat>
          <c:val>
            <c:numRef>
              <c:f>'comparaison janvier 2025'!$C$4:$AG$4</c:f>
              <c:numCache>
                <c:formatCode>General</c:formatCode>
                <c:ptCount val="31"/>
                <c:pt idx="0">
                  <c:v>3.4980000000000002</c:v>
                </c:pt>
                <c:pt idx="1">
                  <c:v>0.69799999999999995</c:v>
                </c:pt>
                <c:pt idx="2">
                  <c:v>3.536</c:v>
                </c:pt>
                <c:pt idx="3">
                  <c:v>1.2869999999999999</c:v>
                </c:pt>
                <c:pt idx="4">
                  <c:v>4.4029999999999996</c:v>
                </c:pt>
                <c:pt idx="5">
                  <c:v>14.486000000000001</c:v>
                </c:pt>
                <c:pt idx="6">
                  <c:v>4.5279999999999996</c:v>
                </c:pt>
                <c:pt idx="7">
                  <c:v>2.4140000000000001</c:v>
                </c:pt>
                <c:pt idx="8">
                  <c:v>15.077999999999999</c:v>
                </c:pt>
                <c:pt idx="9">
                  <c:v>2.25</c:v>
                </c:pt>
                <c:pt idx="10">
                  <c:v>9.9139999999999997</c:v>
                </c:pt>
                <c:pt idx="11">
                  <c:v>20.414000000000001</c:v>
                </c:pt>
                <c:pt idx="12">
                  <c:v>25.106000000000002</c:v>
                </c:pt>
                <c:pt idx="13">
                  <c:v>23.821999999999999</c:v>
                </c:pt>
                <c:pt idx="14">
                  <c:v>21.986000000000001</c:v>
                </c:pt>
                <c:pt idx="15">
                  <c:v>9.4570000000000007</c:v>
                </c:pt>
                <c:pt idx="16">
                  <c:v>24.129000000000001</c:v>
                </c:pt>
                <c:pt idx="17">
                  <c:v>2.5129999999999999</c:v>
                </c:pt>
                <c:pt idx="18">
                  <c:v>20.46</c:v>
                </c:pt>
                <c:pt idx="19">
                  <c:v>21.643999999999998</c:v>
                </c:pt>
                <c:pt idx="20">
                  <c:v>9.6959999999999997</c:v>
                </c:pt>
                <c:pt idx="21">
                  <c:v>6.7140000000000004</c:v>
                </c:pt>
                <c:pt idx="22">
                  <c:v>13.504</c:v>
                </c:pt>
                <c:pt idx="23">
                  <c:v>4.2539999999999996</c:v>
                </c:pt>
                <c:pt idx="24">
                  <c:v>5.9260000000000002</c:v>
                </c:pt>
                <c:pt idx="25">
                  <c:v>2.548</c:v>
                </c:pt>
                <c:pt idx="26">
                  <c:v>10.651999999999999</c:v>
                </c:pt>
                <c:pt idx="27">
                  <c:v>1.24</c:v>
                </c:pt>
                <c:pt idx="28">
                  <c:v>0</c:v>
                </c:pt>
                <c:pt idx="29">
                  <c:v>0</c:v>
                </c:pt>
                <c:pt idx="30">
                  <c:v>15.332000000000001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'comparaison janvier 2025'!$A$5:$B$5</c:f>
              <c:strCache>
                <c:ptCount val="1"/>
                <c:pt idx="0">
                  <c:v>Massé</c:v>
                </c:pt>
              </c:strCache>
            </c:strRef>
          </c:tx>
          <c:marker>
            <c:symbol val="none"/>
          </c:marker>
          <c:cat>
            <c:strRef>
              <c:f>'comparaison janvier 2025'!$C$2:$AG$2</c:f>
              <c:strCache>
                <c:ptCount val="31"/>
                <c:pt idx="0">
                  <c:v>01/01/2025</c:v>
                </c:pt>
                <c:pt idx="1">
                  <c:v>02/01/2025</c:v>
                </c:pt>
                <c:pt idx="2">
                  <c:v>03/01/2025</c:v>
                </c:pt>
                <c:pt idx="3">
                  <c:v>04/01/2025</c:v>
                </c:pt>
                <c:pt idx="4">
                  <c:v>05/01/2025</c:v>
                </c:pt>
                <c:pt idx="5">
                  <c:v>06/01/2025</c:v>
                </c:pt>
                <c:pt idx="6">
                  <c:v>07/01/2025</c:v>
                </c:pt>
                <c:pt idx="7">
                  <c:v>08/01/2025</c:v>
                </c:pt>
                <c:pt idx="8">
                  <c:v>09/01/2025</c:v>
                </c:pt>
                <c:pt idx="9">
                  <c:v>10/01/2025</c:v>
                </c:pt>
                <c:pt idx="10">
                  <c:v>11/01/2025</c:v>
                </c:pt>
                <c:pt idx="11">
                  <c:v>12/01/2025</c:v>
                </c:pt>
                <c:pt idx="12">
                  <c:v>13/01/2025</c:v>
                </c:pt>
                <c:pt idx="13">
                  <c:v>14/01/2025</c:v>
                </c:pt>
                <c:pt idx="14">
                  <c:v>15/01/2025</c:v>
                </c:pt>
                <c:pt idx="15">
                  <c:v>16/01/2025</c:v>
                </c:pt>
                <c:pt idx="16">
                  <c:v>17/01/2025</c:v>
                </c:pt>
                <c:pt idx="17">
                  <c:v>18/01/2025</c:v>
                </c:pt>
                <c:pt idx="18">
                  <c:v>19/01/2025</c:v>
                </c:pt>
                <c:pt idx="19">
                  <c:v>20/01/2025</c:v>
                </c:pt>
                <c:pt idx="20">
                  <c:v>21/01/2025</c:v>
                </c:pt>
                <c:pt idx="21">
                  <c:v>22/01/2025</c:v>
                </c:pt>
                <c:pt idx="22">
                  <c:v>23/01/2025</c:v>
                </c:pt>
                <c:pt idx="23">
                  <c:v>24/01/2025</c:v>
                </c:pt>
                <c:pt idx="24">
                  <c:v>25/01/2025</c:v>
                </c:pt>
                <c:pt idx="25">
                  <c:v>26/01/2025</c:v>
                </c:pt>
                <c:pt idx="26">
                  <c:v>27/01/2025</c:v>
                </c:pt>
                <c:pt idx="27">
                  <c:v>28/01/2025</c:v>
                </c:pt>
                <c:pt idx="28">
                  <c:v>29/01/2025</c:v>
                </c:pt>
                <c:pt idx="29">
                  <c:v>30/01/2025</c:v>
                </c:pt>
                <c:pt idx="30">
                  <c:v>31/01/2025</c:v>
                </c:pt>
              </c:strCache>
            </c:strRef>
          </c:cat>
          <c:val>
            <c:numRef>
              <c:f>'comparaison janvier 2025'!$C$5:$AG$5</c:f>
              <c:numCache>
                <c:formatCode>General</c:formatCode>
                <c:ptCount val="31"/>
                <c:pt idx="0">
                  <c:v>7.6280000000000001</c:v>
                </c:pt>
                <c:pt idx="1">
                  <c:v>2.5630000000000002</c:v>
                </c:pt>
                <c:pt idx="2">
                  <c:v>8.3629999999999995</c:v>
                </c:pt>
                <c:pt idx="3">
                  <c:v>4.0149999999999997</c:v>
                </c:pt>
                <c:pt idx="4">
                  <c:v>10.028</c:v>
                </c:pt>
                <c:pt idx="5">
                  <c:v>21.067</c:v>
                </c:pt>
                <c:pt idx="6">
                  <c:v>9.8309999999999995</c:v>
                </c:pt>
                <c:pt idx="7">
                  <c:v>5.9630000000000001</c:v>
                </c:pt>
                <c:pt idx="8">
                  <c:v>23.497</c:v>
                </c:pt>
                <c:pt idx="9">
                  <c:v>5.9630000000000001</c:v>
                </c:pt>
                <c:pt idx="10">
                  <c:v>18.838000000000001</c:v>
                </c:pt>
                <c:pt idx="11">
                  <c:v>29.896999999999998</c:v>
                </c:pt>
                <c:pt idx="12">
                  <c:v>34.338999999999999</c:v>
                </c:pt>
                <c:pt idx="13">
                  <c:v>34.411999999999999</c:v>
                </c:pt>
                <c:pt idx="14">
                  <c:v>30.733000000000001</c:v>
                </c:pt>
                <c:pt idx="15">
                  <c:v>16.733000000000001</c:v>
                </c:pt>
                <c:pt idx="16">
                  <c:v>33.975000000000001</c:v>
                </c:pt>
                <c:pt idx="17">
                  <c:v>6.6950000000000003</c:v>
                </c:pt>
                <c:pt idx="18">
                  <c:v>36.155000000000001</c:v>
                </c:pt>
                <c:pt idx="19">
                  <c:v>33.558999999999997</c:v>
                </c:pt>
                <c:pt idx="20">
                  <c:v>18.882000000000001</c:v>
                </c:pt>
                <c:pt idx="21">
                  <c:v>12.962</c:v>
                </c:pt>
                <c:pt idx="22">
                  <c:v>23.123999999999999</c:v>
                </c:pt>
                <c:pt idx="23">
                  <c:v>9.7089999999999996</c:v>
                </c:pt>
                <c:pt idx="24">
                  <c:v>12.382999999999999</c:v>
                </c:pt>
                <c:pt idx="25">
                  <c:v>6.5179999999999998</c:v>
                </c:pt>
                <c:pt idx="26">
                  <c:v>19.106999999999999</c:v>
                </c:pt>
                <c:pt idx="27">
                  <c:v>17.378</c:v>
                </c:pt>
                <c:pt idx="28">
                  <c:v>7.274</c:v>
                </c:pt>
                <c:pt idx="29">
                  <c:v>14.798</c:v>
                </c:pt>
                <c:pt idx="30">
                  <c:v>29.648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'comparaison janvier 2025'!$A$6:$B$6</c:f>
              <c:strCache>
                <c:ptCount val="1"/>
                <c:pt idx="0">
                  <c:v>La Josiere</c:v>
                </c:pt>
              </c:strCache>
            </c:strRef>
          </c:tx>
          <c:marker>
            <c:symbol val="none"/>
          </c:marker>
          <c:cat>
            <c:strRef>
              <c:f>'comparaison janvier 2025'!$C$2:$AG$2</c:f>
              <c:strCache>
                <c:ptCount val="31"/>
                <c:pt idx="0">
                  <c:v>01/01/2025</c:v>
                </c:pt>
                <c:pt idx="1">
                  <c:v>02/01/2025</c:v>
                </c:pt>
                <c:pt idx="2">
                  <c:v>03/01/2025</c:v>
                </c:pt>
                <c:pt idx="3">
                  <c:v>04/01/2025</c:v>
                </c:pt>
                <c:pt idx="4">
                  <c:v>05/01/2025</c:v>
                </c:pt>
                <c:pt idx="5">
                  <c:v>06/01/2025</c:v>
                </c:pt>
                <c:pt idx="6">
                  <c:v>07/01/2025</c:v>
                </c:pt>
                <c:pt idx="7">
                  <c:v>08/01/2025</c:v>
                </c:pt>
                <c:pt idx="8">
                  <c:v>09/01/2025</c:v>
                </c:pt>
                <c:pt idx="9">
                  <c:v>10/01/2025</c:v>
                </c:pt>
                <c:pt idx="10">
                  <c:v>11/01/2025</c:v>
                </c:pt>
                <c:pt idx="11">
                  <c:v>12/01/2025</c:v>
                </c:pt>
                <c:pt idx="12">
                  <c:v>13/01/2025</c:v>
                </c:pt>
                <c:pt idx="13">
                  <c:v>14/01/2025</c:v>
                </c:pt>
                <c:pt idx="14">
                  <c:v>15/01/2025</c:v>
                </c:pt>
                <c:pt idx="15">
                  <c:v>16/01/2025</c:v>
                </c:pt>
                <c:pt idx="16">
                  <c:v>17/01/2025</c:v>
                </c:pt>
                <c:pt idx="17">
                  <c:v>18/01/2025</c:v>
                </c:pt>
                <c:pt idx="18">
                  <c:v>19/01/2025</c:v>
                </c:pt>
                <c:pt idx="19">
                  <c:v>20/01/2025</c:v>
                </c:pt>
                <c:pt idx="20">
                  <c:v>21/01/2025</c:v>
                </c:pt>
                <c:pt idx="21">
                  <c:v>22/01/2025</c:v>
                </c:pt>
                <c:pt idx="22">
                  <c:v>23/01/2025</c:v>
                </c:pt>
                <c:pt idx="23">
                  <c:v>24/01/2025</c:v>
                </c:pt>
                <c:pt idx="24">
                  <c:v>25/01/2025</c:v>
                </c:pt>
                <c:pt idx="25">
                  <c:v>26/01/2025</c:v>
                </c:pt>
                <c:pt idx="26">
                  <c:v>27/01/2025</c:v>
                </c:pt>
                <c:pt idx="27">
                  <c:v>28/01/2025</c:v>
                </c:pt>
                <c:pt idx="28">
                  <c:v>29/01/2025</c:v>
                </c:pt>
                <c:pt idx="29">
                  <c:v>30/01/2025</c:v>
                </c:pt>
                <c:pt idx="30">
                  <c:v>31/01/2025</c:v>
                </c:pt>
              </c:strCache>
            </c:strRef>
          </c:cat>
          <c:val>
            <c:numRef>
              <c:f>'comparaison janvier 2025'!$C$6:$AG$6</c:f>
              <c:numCache>
                <c:formatCode>General</c:formatCode>
                <c:ptCount val="31"/>
                <c:pt idx="0">
                  <c:v>11.879</c:v>
                </c:pt>
                <c:pt idx="1">
                  <c:v>4.391</c:v>
                </c:pt>
                <c:pt idx="2">
                  <c:v>10.85</c:v>
                </c:pt>
                <c:pt idx="3">
                  <c:v>5.4160000000000004</c:v>
                </c:pt>
                <c:pt idx="4">
                  <c:v>13.266999999999999</c:v>
                </c:pt>
                <c:pt idx="5">
                  <c:v>28.85</c:v>
                </c:pt>
                <c:pt idx="6">
                  <c:v>15.598000000000001</c:v>
                </c:pt>
                <c:pt idx="7">
                  <c:v>8.0079999999999991</c:v>
                </c:pt>
                <c:pt idx="8">
                  <c:v>27.562000000000001</c:v>
                </c:pt>
                <c:pt idx="9">
                  <c:v>8.93</c:v>
                </c:pt>
                <c:pt idx="10">
                  <c:v>22.056999999999999</c:v>
                </c:pt>
                <c:pt idx="11">
                  <c:v>37.500999999999998</c:v>
                </c:pt>
                <c:pt idx="12">
                  <c:v>56.302</c:v>
                </c:pt>
                <c:pt idx="13">
                  <c:v>56.683999999999997</c:v>
                </c:pt>
                <c:pt idx="14">
                  <c:v>52.542000000000002</c:v>
                </c:pt>
                <c:pt idx="15">
                  <c:v>25.169</c:v>
                </c:pt>
                <c:pt idx="16">
                  <c:v>55.152999999999999</c:v>
                </c:pt>
                <c:pt idx="17">
                  <c:v>8.657</c:v>
                </c:pt>
                <c:pt idx="18">
                  <c:v>46.948999999999998</c:v>
                </c:pt>
                <c:pt idx="19">
                  <c:v>45.039000000000001</c:v>
                </c:pt>
                <c:pt idx="20">
                  <c:v>25.565000000000001</c:v>
                </c:pt>
                <c:pt idx="21">
                  <c:v>23.914000000000001</c:v>
                </c:pt>
                <c:pt idx="22">
                  <c:v>38.006999999999998</c:v>
                </c:pt>
                <c:pt idx="23">
                  <c:v>12.638</c:v>
                </c:pt>
                <c:pt idx="24">
                  <c:v>17.117000000000001</c:v>
                </c:pt>
                <c:pt idx="25">
                  <c:v>8.5679999999999996</c:v>
                </c:pt>
                <c:pt idx="26">
                  <c:v>26.353999999999999</c:v>
                </c:pt>
                <c:pt idx="27">
                  <c:v>23.757000000000001</c:v>
                </c:pt>
                <c:pt idx="28">
                  <c:v>9.4930000000000003</c:v>
                </c:pt>
                <c:pt idx="29">
                  <c:v>17.268999999999998</c:v>
                </c:pt>
                <c:pt idx="30">
                  <c:v>51.819000000000003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80768"/>
        <c:axId val="66503040"/>
      </c:lineChart>
      <c:catAx>
        <c:axId val="66480768"/>
        <c:scaling>
          <c:orientation val="minMax"/>
        </c:scaling>
        <c:delete val="0"/>
        <c:axPos val="b"/>
        <c:majorTickMark val="out"/>
        <c:minorTickMark val="none"/>
        <c:tickLblPos val="nextTo"/>
        <c:crossAx val="66503040"/>
        <c:crosses val="autoZero"/>
        <c:auto val="1"/>
        <c:lblAlgn val="ctr"/>
        <c:lblOffset val="100"/>
        <c:noMultiLvlLbl val="0"/>
      </c:catAx>
      <c:valAx>
        <c:axId val="66503040"/>
        <c:scaling>
          <c:orientation val="minMax"/>
          <c:max val="6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480768"/>
        <c:crosses val="autoZero"/>
        <c:crossBetween val="between"/>
        <c:majorUnit val="5"/>
        <c:minorUnit val="0.4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604837</xdr:colOff>
      <xdr:row>12</xdr:row>
      <xdr:rowOff>138111</xdr:rowOff>
    </xdr:from>
    <xdr:to>
      <xdr:col>14</xdr:col>
      <xdr:colOff>428625</xdr:colOff>
      <xdr:row>32</xdr:row>
      <xdr:rowOff>161924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581023</xdr:colOff>
      <xdr:row>41</xdr:row>
      <xdr:rowOff>180974</xdr:rowOff>
    </xdr:from>
    <xdr:to>
      <xdr:col>14</xdr:col>
      <xdr:colOff>200024</xdr:colOff>
      <xdr:row>63</xdr:row>
      <xdr:rowOff>142875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12</xdr:row>
      <xdr:rowOff>114300</xdr:rowOff>
    </xdr:from>
    <xdr:to>
      <xdr:col>34</xdr:col>
      <xdr:colOff>657225</xdr:colOff>
      <xdr:row>37</xdr:row>
      <xdr:rowOff>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9</xdr:row>
      <xdr:rowOff>95250</xdr:rowOff>
    </xdr:from>
    <xdr:to>
      <xdr:col>31</xdr:col>
      <xdr:colOff>0</xdr:colOff>
      <xdr:row>31</xdr:row>
      <xdr:rowOff>28576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topLeftCell="A13" workbookViewId="0">
      <selection activeCell="B24" sqref="B24"/>
    </sheetView>
  </sheetViews>
  <sheetFormatPr baseColWidth="10" defaultRowHeight="15" x14ac:dyDescent="0.25"/>
  <cols>
    <col min="1" max="1" width="16.7109375" customWidth="1"/>
    <col min="2" max="2" width="13.5703125" bestFit="1" customWidth="1"/>
    <col min="4" max="4" width="16.28515625" customWidth="1"/>
    <col min="14" max="14" width="17.85546875" customWidth="1"/>
    <col min="15" max="15" width="18.5703125" customWidth="1"/>
    <col min="16" max="16" width="18" customWidth="1"/>
  </cols>
  <sheetData>
    <row r="1" spans="1:16" x14ac:dyDescent="0.25">
      <c r="C1" s="118" t="s">
        <v>5</v>
      </c>
      <c r="D1" s="119"/>
      <c r="E1" s="119"/>
      <c r="F1" s="120"/>
      <c r="G1" s="121" t="s">
        <v>75</v>
      </c>
      <c r="H1" s="122"/>
      <c r="I1" s="122"/>
    </row>
    <row r="2" spans="1:16" x14ac:dyDescent="0.25">
      <c r="C2" s="12" t="s">
        <v>1</v>
      </c>
      <c r="D2" s="10"/>
      <c r="E2" s="11">
        <v>8.9600000000000009</v>
      </c>
      <c r="F2" s="13" t="s">
        <v>2</v>
      </c>
      <c r="G2" s="121" t="s">
        <v>52</v>
      </c>
      <c r="H2" s="122"/>
      <c r="I2" s="122"/>
    </row>
    <row r="3" spans="1:16" ht="15.75" thickBot="1" x14ac:dyDescent="0.3">
      <c r="C3" s="4" t="s">
        <v>7</v>
      </c>
      <c r="D3" s="5"/>
      <c r="E3" s="5">
        <v>0.1575</v>
      </c>
      <c r="F3" s="6" t="s">
        <v>8</v>
      </c>
    </row>
    <row r="6" spans="1:16" ht="43.5" customHeight="1" x14ac:dyDescent="0.25">
      <c r="A6" s="7"/>
      <c r="B6" s="8" t="s">
        <v>9</v>
      </c>
      <c r="C6" s="8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33</v>
      </c>
      <c r="J6" s="8" t="s">
        <v>17</v>
      </c>
      <c r="K6" s="8" t="s">
        <v>18</v>
      </c>
      <c r="L6" s="8" t="s">
        <v>19</v>
      </c>
      <c r="M6" s="8" t="s">
        <v>34</v>
      </c>
      <c r="N6" s="14" t="s">
        <v>25</v>
      </c>
      <c r="O6" s="18" t="s">
        <v>32</v>
      </c>
      <c r="P6" s="67" t="s">
        <v>40</v>
      </c>
    </row>
    <row r="7" spans="1:16" ht="31.5" customHeight="1" x14ac:dyDescent="0.25">
      <c r="A7" s="15" t="s">
        <v>30</v>
      </c>
      <c r="B7" s="24">
        <v>334</v>
      </c>
      <c r="C7" s="24">
        <v>487</v>
      </c>
      <c r="D7" s="24">
        <v>883</v>
      </c>
      <c r="E7" s="24">
        <v>1178</v>
      </c>
      <c r="F7" s="25">
        <v>1306</v>
      </c>
      <c r="G7" s="24">
        <v>1476</v>
      </c>
      <c r="H7" s="26">
        <v>1540</v>
      </c>
      <c r="I7" s="24">
        <v>1302</v>
      </c>
      <c r="J7" s="24">
        <v>1004</v>
      </c>
      <c r="K7" s="24">
        <v>650</v>
      </c>
      <c r="L7" s="24">
        <v>407</v>
      </c>
      <c r="M7" s="24">
        <v>292</v>
      </c>
      <c r="N7" s="16">
        <f>SUM(B7:M7)</f>
        <v>10859</v>
      </c>
    </row>
    <row r="8" spans="1:16" ht="31.5" customHeight="1" x14ac:dyDescent="0.25">
      <c r="A8" s="15" t="s">
        <v>31</v>
      </c>
      <c r="B8" s="27">
        <f>B7*0.1575</f>
        <v>52.604999999999997</v>
      </c>
      <c r="C8" s="27">
        <f t="shared" ref="C8:M8" si="0">C7*0.1575</f>
        <v>76.702500000000001</v>
      </c>
      <c r="D8" s="27">
        <f t="shared" si="0"/>
        <v>139.07249999999999</v>
      </c>
      <c r="E8" s="27">
        <f t="shared" si="0"/>
        <v>185.535</v>
      </c>
      <c r="F8" s="28">
        <f t="shared" si="0"/>
        <v>205.69499999999999</v>
      </c>
      <c r="G8" s="28">
        <f t="shared" si="0"/>
        <v>232.47</v>
      </c>
      <c r="H8" s="28">
        <f t="shared" si="0"/>
        <v>242.55</v>
      </c>
      <c r="I8" s="28">
        <f t="shared" si="0"/>
        <v>205.065</v>
      </c>
      <c r="J8" s="28">
        <f t="shared" si="0"/>
        <v>158.13</v>
      </c>
      <c r="K8" s="28">
        <f t="shared" si="0"/>
        <v>102.375</v>
      </c>
      <c r="L8" s="28">
        <f t="shared" si="0"/>
        <v>64.102500000000006</v>
      </c>
      <c r="M8" s="28">
        <f t="shared" si="0"/>
        <v>45.99</v>
      </c>
      <c r="N8" s="47">
        <f>SUM(B8:M8)</f>
        <v>1710.2924999999998</v>
      </c>
    </row>
    <row r="9" spans="1:16" ht="30" x14ac:dyDescent="0.25">
      <c r="A9" s="35" t="s">
        <v>6</v>
      </c>
      <c r="B9" s="31">
        <v>376</v>
      </c>
      <c r="C9" s="31">
        <v>533</v>
      </c>
      <c r="D9" s="31">
        <v>743.6</v>
      </c>
      <c r="E9" s="36">
        <v>984.4</v>
      </c>
      <c r="F9" s="31">
        <v>1421</v>
      </c>
      <c r="G9" s="31">
        <v>1412</v>
      </c>
      <c r="H9" s="31">
        <v>1696</v>
      </c>
      <c r="I9" s="31">
        <v>1319</v>
      </c>
      <c r="J9" s="31">
        <v>1056</v>
      </c>
      <c r="K9" s="31">
        <v>609</v>
      </c>
      <c r="L9" s="31">
        <v>435</v>
      </c>
      <c r="M9" s="31">
        <v>245</v>
      </c>
      <c r="N9" s="35">
        <f>SUM(B9:M9)</f>
        <v>10830</v>
      </c>
      <c r="P9" s="68">
        <f>N9/8.96</f>
        <v>1208.7053571428571</v>
      </c>
    </row>
    <row r="10" spans="1:16" ht="30" x14ac:dyDescent="0.25">
      <c r="A10" s="30" t="s">
        <v>22</v>
      </c>
      <c r="B10" s="32">
        <f t="shared" ref="B10:M10" si="1">B9*0.1575</f>
        <v>59.22</v>
      </c>
      <c r="C10" s="33">
        <f t="shared" si="1"/>
        <v>83.947500000000005</v>
      </c>
      <c r="D10" s="33">
        <f t="shared" si="1"/>
        <v>117.117</v>
      </c>
      <c r="E10" s="33">
        <f t="shared" si="1"/>
        <v>155.04300000000001</v>
      </c>
      <c r="F10" s="33">
        <f t="shared" si="1"/>
        <v>223.8075</v>
      </c>
      <c r="G10" s="33">
        <f t="shared" si="1"/>
        <v>222.39000000000001</v>
      </c>
      <c r="H10" s="33">
        <f t="shared" si="1"/>
        <v>267.12</v>
      </c>
      <c r="I10" s="33">
        <f t="shared" si="1"/>
        <v>207.74250000000001</v>
      </c>
      <c r="J10" s="33">
        <f t="shared" si="1"/>
        <v>166.32</v>
      </c>
      <c r="K10" s="33">
        <f t="shared" si="1"/>
        <v>95.917500000000004</v>
      </c>
      <c r="L10" s="33">
        <f t="shared" si="1"/>
        <v>68.512500000000003</v>
      </c>
      <c r="M10" s="33">
        <f t="shared" si="1"/>
        <v>38.587499999999999</v>
      </c>
      <c r="N10" s="48">
        <f>N9*0.1575</f>
        <v>1705.7249999999999</v>
      </c>
      <c r="O10" s="47">
        <f>(N10/15103.22)*100</f>
        <v>11.293783709698992</v>
      </c>
    </row>
    <row r="12" spans="1:16" ht="30" x14ac:dyDescent="0.25">
      <c r="A12" s="35" t="s">
        <v>35</v>
      </c>
      <c r="B12" s="60">
        <v>290</v>
      </c>
      <c r="C12" s="60">
        <v>592</v>
      </c>
      <c r="D12" s="60">
        <v>560</v>
      </c>
      <c r="E12" s="60">
        <v>1121.4000000000001</v>
      </c>
      <c r="F12" s="60">
        <v>1416.1</v>
      </c>
      <c r="G12" s="60">
        <v>1323.8</v>
      </c>
      <c r="H12" s="60">
        <v>1363.7</v>
      </c>
      <c r="I12" s="60">
        <v>1182.5</v>
      </c>
      <c r="J12" s="60">
        <v>979.7</v>
      </c>
      <c r="K12" s="60">
        <v>666.4</v>
      </c>
      <c r="L12" s="60">
        <v>358.3</v>
      </c>
      <c r="M12" s="60">
        <v>264.39999999999998</v>
      </c>
      <c r="N12" s="35">
        <f>SUM(B12:M12)</f>
        <v>10118.299999999999</v>
      </c>
      <c r="P12" s="95">
        <f>N12/8.96</f>
        <v>1129.2745535714284</v>
      </c>
    </row>
    <row r="13" spans="1:16" ht="30" x14ac:dyDescent="0.25">
      <c r="A13" s="30" t="s">
        <v>22</v>
      </c>
      <c r="B13" s="33">
        <f t="shared" ref="B13:M13" si="2">B12*0.1575</f>
        <v>45.674999999999997</v>
      </c>
      <c r="C13" s="33">
        <f t="shared" si="2"/>
        <v>93.24</v>
      </c>
      <c r="D13" s="33">
        <f t="shared" si="2"/>
        <v>88.2</v>
      </c>
      <c r="E13" s="33">
        <f t="shared" si="2"/>
        <v>176.62050000000002</v>
      </c>
      <c r="F13" s="33">
        <f t="shared" si="2"/>
        <v>223.03574999999998</v>
      </c>
      <c r="G13" s="33">
        <f t="shared" si="2"/>
        <v>208.49850000000001</v>
      </c>
      <c r="H13" s="33">
        <f t="shared" si="2"/>
        <v>214.78275000000002</v>
      </c>
      <c r="I13" s="33">
        <f t="shared" si="2"/>
        <v>186.24375000000001</v>
      </c>
      <c r="J13" s="33">
        <f t="shared" si="2"/>
        <v>154.30275</v>
      </c>
      <c r="K13" s="33">
        <f t="shared" si="2"/>
        <v>104.958</v>
      </c>
      <c r="L13" s="33">
        <f t="shared" si="2"/>
        <v>56.432250000000003</v>
      </c>
      <c r="M13" s="33">
        <f t="shared" si="2"/>
        <v>41.642999999999994</v>
      </c>
      <c r="N13" s="48">
        <f>SUM(B13:M13)</f>
        <v>1593.6322500000003</v>
      </c>
      <c r="O13" s="47">
        <f>(N13/15103.22)*100</f>
        <v>10.551605882719052</v>
      </c>
    </row>
    <row r="14" spans="1:16" ht="30" x14ac:dyDescent="0.25">
      <c r="A14" s="15" t="s">
        <v>30</v>
      </c>
      <c r="B14" s="24">
        <v>334</v>
      </c>
      <c r="C14" s="24">
        <v>487</v>
      </c>
      <c r="D14" s="24">
        <v>883</v>
      </c>
      <c r="E14" s="24">
        <v>1178</v>
      </c>
      <c r="F14" s="25">
        <v>1306</v>
      </c>
      <c r="G14" s="24">
        <v>1476</v>
      </c>
      <c r="H14" s="26">
        <v>1540</v>
      </c>
      <c r="I14" s="24">
        <v>1302</v>
      </c>
      <c r="J14" s="24">
        <v>1004</v>
      </c>
      <c r="K14" s="24">
        <v>650</v>
      </c>
      <c r="L14" s="24">
        <v>407</v>
      </c>
      <c r="M14" s="24">
        <v>292</v>
      </c>
      <c r="N14" s="16">
        <f>SUM(B14:M14)</f>
        <v>10859</v>
      </c>
    </row>
    <row r="15" spans="1:16" ht="36.75" customHeight="1" x14ac:dyDescent="0.25">
      <c r="A15" s="91" t="s">
        <v>55</v>
      </c>
      <c r="B15" s="92">
        <f>(B12/B7)*100</f>
        <v>86.82634730538922</v>
      </c>
      <c r="C15" s="92">
        <f t="shared" ref="C15:N15" si="3">(C12/C7)*100</f>
        <v>121.56057494866531</v>
      </c>
      <c r="D15" s="92">
        <f t="shared" si="3"/>
        <v>63.42015855039638</v>
      </c>
      <c r="E15" s="92">
        <f t="shared" si="3"/>
        <v>95.195246179966048</v>
      </c>
      <c r="F15" s="92">
        <f t="shared" si="3"/>
        <v>108.43032159264932</v>
      </c>
      <c r="G15" s="92">
        <f t="shared" si="3"/>
        <v>89.688346883468824</v>
      </c>
      <c r="H15" s="92">
        <f t="shared" si="3"/>
        <v>88.55194805194806</v>
      </c>
      <c r="I15" s="92">
        <f t="shared" si="3"/>
        <v>90.82181259600614</v>
      </c>
      <c r="J15" s="92">
        <f t="shared" si="3"/>
        <v>97.579681274900395</v>
      </c>
      <c r="K15" s="92">
        <f t="shared" si="3"/>
        <v>102.52307692307691</v>
      </c>
      <c r="L15" s="92">
        <f t="shared" si="3"/>
        <v>88.034398034398038</v>
      </c>
      <c r="M15" s="92">
        <f t="shared" si="3"/>
        <v>90.547945205479436</v>
      </c>
      <c r="N15" s="92">
        <f t="shared" si="3"/>
        <v>93.178929919882108</v>
      </c>
    </row>
    <row r="16" spans="1:16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30" x14ac:dyDescent="0.25">
      <c r="A17" s="35" t="s">
        <v>69</v>
      </c>
      <c r="B17" s="60">
        <v>319.60000000000002</v>
      </c>
      <c r="C17" s="60">
        <v>383.2</v>
      </c>
      <c r="D17" s="60">
        <v>792.8</v>
      </c>
      <c r="E17" s="60">
        <v>1124.9000000000001</v>
      </c>
      <c r="F17" s="60">
        <v>1228</v>
      </c>
      <c r="G17" s="60">
        <v>1254.2</v>
      </c>
      <c r="H17" s="60">
        <v>1370.4</v>
      </c>
      <c r="I17" s="60">
        <v>1173.5999999999999</v>
      </c>
      <c r="J17" s="60">
        <v>861.9</v>
      </c>
      <c r="K17" s="60">
        <v>545.4</v>
      </c>
      <c r="L17" s="60">
        <v>394.1</v>
      </c>
      <c r="M17" s="60">
        <v>275.8</v>
      </c>
      <c r="N17" s="35">
        <f>SUM(B17:M17)</f>
        <v>9723.9</v>
      </c>
    </row>
    <row r="18" spans="1:14" ht="30" x14ac:dyDescent="0.25">
      <c r="A18" s="30" t="s">
        <v>22</v>
      </c>
      <c r="B18" s="33">
        <f t="shared" ref="B18:M18" si="4">B17*0.1575</f>
        <v>50.337000000000003</v>
      </c>
      <c r="C18" s="33">
        <f t="shared" si="4"/>
        <v>60.353999999999999</v>
      </c>
      <c r="D18" s="33">
        <f t="shared" si="4"/>
        <v>124.866</v>
      </c>
      <c r="E18" s="33">
        <f t="shared" si="4"/>
        <v>177.17175</v>
      </c>
      <c r="F18" s="33">
        <f t="shared" si="4"/>
        <v>193.41</v>
      </c>
      <c r="G18" s="33">
        <f t="shared" si="4"/>
        <v>197.53650000000002</v>
      </c>
      <c r="H18" s="33">
        <f t="shared" si="4"/>
        <v>215.83800000000002</v>
      </c>
      <c r="I18" s="33">
        <f t="shared" si="4"/>
        <v>184.84199999999998</v>
      </c>
      <c r="J18" s="33">
        <f t="shared" si="4"/>
        <v>135.74924999999999</v>
      </c>
      <c r="K18" s="33">
        <f t="shared" si="4"/>
        <v>85.900499999999994</v>
      </c>
      <c r="L18" s="33">
        <f t="shared" si="4"/>
        <v>62.070750000000004</v>
      </c>
      <c r="M18" s="33">
        <f t="shared" si="4"/>
        <v>43.438500000000005</v>
      </c>
      <c r="N18" s="48">
        <f>SUM(B18:M18)</f>
        <v>1531.5142500000002</v>
      </c>
    </row>
    <row r="19" spans="1:14" ht="30" x14ac:dyDescent="0.25">
      <c r="A19" s="15" t="s">
        <v>30</v>
      </c>
      <c r="B19" s="24">
        <f t="shared" ref="B19:M19" si="5">B7</f>
        <v>334</v>
      </c>
      <c r="C19" s="24">
        <f t="shared" si="5"/>
        <v>487</v>
      </c>
      <c r="D19" s="24">
        <f t="shared" si="5"/>
        <v>883</v>
      </c>
      <c r="E19" s="24">
        <f t="shared" si="5"/>
        <v>1178</v>
      </c>
      <c r="F19" s="24">
        <f t="shared" si="5"/>
        <v>1306</v>
      </c>
      <c r="G19" s="24">
        <f t="shared" si="5"/>
        <v>1476</v>
      </c>
      <c r="H19" s="24">
        <f t="shared" si="5"/>
        <v>1540</v>
      </c>
      <c r="I19" s="24">
        <f t="shared" si="5"/>
        <v>1302</v>
      </c>
      <c r="J19" s="24">
        <f t="shared" si="5"/>
        <v>1004</v>
      </c>
      <c r="K19" s="24">
        <f t="shared" si="5"/>
        <v>650</v>
      </c>
      <c r="L19" s="24">
        <f t="shared" si="5"/>
        <v>407</v>
      </c>
      <c r="M19" s="24">
        <f t="shared" si="5"/>
        <v>292</v>
      </c>
      <c r="N19" s="16">
        <f>SUM(B19:M19)</f>
        <v>10859</v>
      </c>
    </row>
    <row r="20" spans="1:14" ht="45" x14ac:dyDescent="0.25">
      <c r="A20" s="91" t="s">
        <v>55</v>
      </c>
      <c r="B20" s="92">
        <f t="shared" ref="B20:J20" si="6">(B17/B19)*100</f>
        <v>95.688622754491021</v>
      </c>
      <c r="C20" s="92">
        <f t="shared" si="6"/>
        <v>78.685831622176593</v>
      </c>
      <c r="D20" s="92">
        <f t="shared" si="6"/>
        <v>89.784824462061152</v>
      </c>
      <c r="E20" s="92">
        <f t="shared" si="6"/>
        <v>95.492359932088291</v>
      </c>
      <c r="F20" s="92">
        <f t="shared" si="6"/>
        <v>94.027565084226651</v>
      </c>
      <c r="G20" s="92">
        <f t="shared" si="6"/>
        <v>84.972899728997291</v>
      </c>
      <c r="H20" s="92">
        <f t="shared" si="6"/>
        <v>88.987012987012989</v>
      </c>
      <c r="I20" s="92">
        <f t="shared" si="6"/>
        <v>90.138248847926263</v>
      </c>
      <c r="J20" s="92">
        <f t="shared" si="6"/>
        <v>85.846613545816723</v>
      </c>
      <c r="K20" s="92">
        <f>(K17/K19)*100</f>
        <v>83.907692307692301</v>
      </c>
      <c r="L20" s="92">
        <f>(L17/L19)*100</f>
        <v>96.830466830466833</v>
      </c>
      <c r="M20" s="92">
        <f>(M17/M19)*100</f>
        <v>94.452054794520564</v>
      </c>
      <c r="N20" s="92">
        <f>(N17/N19)*100</f>
        <v>89.546919605856885</v>
      </c>
    </row>
    <row r="21" spans="1:14" x14ac:dyDescent="0.25">
      <c r="A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30" x14ac:dyDescent="0.25">
      <c r="A22" s="35" t="s">
        <v>84</v>
      </c>
      <c r="B22" s="60">
        <v>280.24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5">
        <f>SUM(B22:M22)</f>
        <v>280.24</v>
      </c>
    </row>
    <row r="23" spans="1:14" ht="30" x14ac:dyDescent="0.25">
      <c r="A23" s="30" t="s">
        <v>22</v>
      </c>
      <c r="B23" s="33">
        <f t="shared" ref="B23:M23" si="7">B22*0.1575</f>
        <v>44.137799999999999</v>
      </c>
      <c r="C23" s="33">
        <f t="shared" si="7"/>
        <v>0</v>
      </c>
      <c r="D23" s="33">
        <f t="shared" si="7"/>
        <v>0</v>
      </c>
      <c r="E23" s="33">
        <f t="shared" si="7"/>
        <v>0</v>
      </c>
      <c r="F23" s="33">
        <f t="shared" si="7"/>
        <v>0</v>
      </c>
      <c r="G23" s="33">
        <f t="shared" si="7"/>
        <v>0</v>
      </c>
      <c r="H23" s="33">
        <f t="shared" si="7"/>
        <v>0</v>
      </c>
      <c r="I23" s="33">
        <f t="shared" si="7"/>
        <v>0</v>
      </c>
      <c r="J23" s="33">
        <f t="shared" si="7"/>
        <v>0</v>
      </c>
      <c r="K23" s="33">
        <f t="shared" si="7"/>
        <v>0</v>
      </c>
      <c r="L23" s="33">
        <f t="shared" si="7"/>
        <v>0</v>
      </c>
      <c r="M23" s="33">
        <f t="shared" si="7"/>
        <v>0</v>
      </c>
      <c r="N23" s="48">
        <f>SUM(B23:M23)</f>
        <v>44.137799999999999</v>
      </c>
    </row>
    <row r="24" spans="1:14" ht="30" x14ac:dyDescent="0.25">
      <c r="A24" s="15" t="s">
        <v>30</v>
      </c>
      <c r="B24" s="24">
        <f t="shared" ref="B24" si="8">B12</f>
        <v>290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16">
        <f>SUM(B24:M24)</f>
        <v>290</v>
      </c>
    </row>
    <row r="25" spans="1:14" ht="45" x14ac:dyDescent="0.25">
      <c r="A25" s="91" t="s">
        <v>55</v>
      </c>
      <c r="B25" s="92">
        <f t="shared" ref="B25" si="9">(B22/B24)*100</f>
        <v>96.634482758620692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>
        <f>(N22/N24)*100</f>
        <v>96.634482758620692</v>
      </c>
    </row>
    <row r="31" spans="1:14" x14ac:dyDescent="0.25">
      <c r="D31" s="107"/>
      <c r="E31" s="106"/>
      <c r="F31" s="109"/>
      <c r="G31" s="110"/>
      <c r="J31" s="110"/>
    </row>
    <row r="32" spans="1:14" x14ac:dyDescent="0.25">
      <c r="D32" s="107"/>
      <c r="E32" s="106"/>
      <c r="F32" s="109"/>
      <c r="G32" s="110"/>
      <c r="J32" s="110"/>
    </row>
    <row r="33" spans="4:10" x14ac:dyDescent="0.25">
      <c r="D33" s="107"/>
      <c r="E33" s="106"/>
      <c r="F33" s="109"/>
      <c r="G33" s="110"/>
      <c r="J33" s="110"/>
    </row>
    <row r="34" spans="4:10" x14ac:dyDescent="0.25">
      <c r="D34" s="107"/>
      <c r="E34" s="106"/>
      <c r="F34" s="109"/>
      <c r="G34" s="110"/>
      <c r="J34" s="110"/>
    </row>
    <row r="35" spans="4:10" x14ac:dyDescent="0.25">
      <c r="D35" s="107"/>
      <c r="E35" s="106"/>
      <c r="F35" s="109"/>
      <c r="G35" s="110"/>
      <c r="J35" s="110"/>
    </row>
    <row r="36" spans="4:10" x14ac:dyDescent="0.25">
      <c r="D36" s="107"/>
      <c r="E36" s="106"/>
      <c r="F36" s="109"/>
      <c r="G36" s="110"/>
      <c r="J36" s="110"/>
    </row>
    <row r="37" spans="4:10" x14ac:dyDescent="0.25">
      <c r="D37" s="107"/>
      <c r="E37" s="106"/>
      <c r="F37" s="109"/>
      <c r="G37" s="110"/>
      <c r="J37" s="110"/>
    </row>
    <row r="38" spans="4:10" x14ac:dyDescent="0.25">
      <c r="D38" s="107"/>
      <c r="E38" s="106"/>
      <c r="F38" s="109"/>
      <c r="G38" s="110"/>
      <c r="J38" s="110"/>
    </row>
    <row r="39" spans="4:10" x14ac:dyDescent="0.25">
      <c r="D39" s="107"/>
      <c r="E39" s="106"/>
      <c r="F39" s="109"/>
      <c r="G39" s="110"/>
      <c r="J39" s="110"/>
    </row>
    <row r="40" spans="4:10" x14ac:dyDescent="0.25">
      <c r="D40" s="107"/>
      <c r="E40" s="106"/>
      <c r="F40" s="109"/>
      <c r="G40" s="110"/>
      <c r="J40" s="110"/>
    </row>
    <row r="41" spans="4:10" x14ac:dyDescent="0.25">
      <c r="D41" s="107"/>
      <c r="E41" s="106"/>
      <c r="F41" s="109"/>
      <c r="G41" s="110"/>
      <c r="J41" s="110"/>
    </row>
    <row r="42" spans="4:10" x14ac:dyDescent="0.25">
      <c r="D42" s="107"/>
      <c r="E42" s="106"/>
      <c r="F42" s="109"/>
      <c r="G42" s="110"/>
      <c r="J42" s="110"/>
    </row>
    <row r="43" spans="4:10" x14ac:dyDescent="0.25">
      <c r="D43" s="107"/>
      <c r="E43" s="106"/>
      <c r="F43" s="109"/>
      <c r="G43" s="110"/>
      <c r="J43" s="110"/>
    </row>
    <row r="44" spans="4:10" x14ac:dyDescent="0.25">
      <c r="D44" s="107"/>
      <c r="E44" s="106"/>
      <c r="F44" s="109"/>
      <c r="G44" s="110"/>
      <c r="J44" s="110"/>
    </row>
    <row r="45" spans="4:10" x14ac:dyDescent="0.25">
      <c r="D45" s="107"/>
      <c r="E45" s="106"/>
      <c r="F45" s="109"/>
      <c r="G45" s="110"/>
      <c r="J45" s="110"/>
    </row>
    <row r="46" spans="4:10" x14ac:dyDescent="0.25">
      <c r="D46" s="107"/>
      <c r="E46" s="106"/>
      <c r="F46" s="109"/>
      <c r="G46" s="110"/>
      <c r="J46" s="110"/>
    </row>
    <row r="47" spans="4:10" x14ac:dyDescent="0.25">
      <c r="D47" s="107"/>
      <c r="E47" s="106"/>
      <c r="F47" s="109"/>
      <c r="G47" s="110"/>
      <c r="J47" s="110"/>
    </row>
    <row r="48" spans="4:10" x14ac:dyDescent="0.25">
      <c r="D48" s="107"/>
      <c r="E48" s="106"/>
      <c r="F48" s="109"/>
      <c r="G48" s="110"/>
      <c r="J48" s="110"/>
    </row>
    <row r="49" spans="4:10" x14ac:dyDescent="0.25">
      <c r="D49" s="107"/>
      <c r="E49" s="106"/>
      <c r="F49" s="109"/>
      <c r="G49" s="110"/>
      <c r="J49" s="110"/>
    </row>
    <row r="50" spans="4:10" x14ac:dyDescent="0.25">
      <c r="D50" s="107"/>
      <c r="E50" s="106"/>
      <c r="F50" s="109"/>
      <c r="G50" s="110"/>
      <c r="J50" s="110"/>
    </row>
    <row r="51" spans="4:10" x14ac:dyDescent="0.25">
      <c r="D51" s="107"/>
      <c r="E51" s="106"/>
      <c r="F51" s="109"/>
      <c r="G51" s="110"/>
      <c r="J51" s="110"/>
    </row>
    <row r="52" spans="4:10" x14ac:dyDescent="0.25">
      <c r="D52" s="107"/>
      <c r="E52" s="106"/>
      <c r="F52" s="109"/>
      <c r="G52" s="110"/>
      <c r="J52" s="110"/>
    </row>
    <row r="53" spans="4:10" x14ac:dyDescent="0.25">
      <c r="D53" s="107"/>
      <c r="E53" s="106"/>
      <c r="F53" s="109"/>
      <c r="G53" s="110"/>
      <c r="J53" s="110"/>
    </row>
    <row r="54" spans="4:10" x14ac:dyDescent="0.25">
      <c r="D54" s="107"/>
      <c r="E54" s="106"/>
      <c r="F54" s="109"/>
      <c r="G54" s="110"/>
      <c r="J54" s="110"/>
    </row>
    <row r="55" spans="4:10" x14ac:dyDescent="0.25">
      <c r="D55" s="107"/>
      <c r="E55" s="106"/>
      <c r="F55" s="109"/>
      <c r="G55" s="110"/>
      <c r="J55" s="110"/>
    </row>
    <row r="56" spans="4:10" x14ac:dyDescent="0.25">
      <c r="D56" s="107"/>
      <c r="E56" s="106"/>
      <c r="F56" s="109"/>
      <c r="G56" s="110"/>
      <c r="J56" s="110"/>
    </row>
    <row r="57" spans="4:10" x14ac:dyDescent="0.25">
      <c r="D57" s="107"/>
      <c r="E57" s="106"/>
      <c r="F57" s="109"/>
      <c r="G57" s="110"/>
      <c r="J57" s="110"/>
    </row>
    <row r="58" spans="4:10" x14ac:dyDescent="0.25">
      <c r="D58" s="107"/>
      <c r="E58" s="106"/>
      <c r="F58" s="109"/>
      <c r="G58" s="110"/>
      <c r="J58" s="110"/>
    </row>
    <row r="59" spans="4:10" x14ac:dyDescent="0.25">
      <c r="D59" s="107"/>
      <c r="E59" s="106"/>
      <c r="F59" s="109"/>
      <c r="G59" s="110"/>
      <c r="J59" s="110"/>
    </row>
    <row r="60" spans="4:10" x14ac:dyDescent="0.25">
      <c r="D60" s="107"/>
      <c r="E60" s="106"/>
      <c r="F60" s="109"/>
      <c r="G60" s="110"/>
      <c r="J60" s="110"/>
    </row>
    <row r="61" spans="4:10" x14ac:dyDescent="0.25">
      <c r="D61" s="107"/>
      <c r="E61" s="106"/>
      <c r="F61" s="109"/>
      <c r="G61" s="110"/>
      <c r="J61" s="110"/>
    </row>
    <row r="62" spans="4:10" x14ac:dyDescent="0.25">
      <c r="D62" s="108"/>
    </row>
    <row r="63" spans="4:10" x14ac:dyDescent="0.25">
      <c r="D63" s="108"/>
      <c r="E63" s="108"/>
      <c r="F63" s="108"/>
      <c r="G63" s="108"/>
    </row>
  </sheetData>
  <mergeCells count="3">
    <mergeCell ref="C1:F1"/>
    <mergeCell ref="G1:I1"/>
    <mergeCell ref="G2:I2"/>
  </mergeCells>
  <conditionalFormatting sqref="D31:D61">
    <cfRule type="expression" dxfId="9" priority="7">
      <formula>$C31="NA"</formula>
    </cfRule>
    <cfRule type="notContainsBlanks" dxfId="8" priority="8">
      <formula>LEN(TRIM(D31))&gt;0</formula>
    </cfRule>
  </conditionalFormatting>
  <conditionalFormatting sqref="E31:E61">
    <cfRule type="expression" dxfId="7" priority="5">
      <formula>$C31="NA"</formula>
    </cfRule>
    <cfRule type="notContainsBlanks" dxfId="6" priority="6">
      <formula>LEN(TRIM(E31))&gt;0</formula>
    </cfRule>
  </conditionalFormatting>
  <conditionalFormatting sqref="J31:J61">
    <cfRule type="expression" dxfId="5" priority="1">
      <formula>$C31="NA"</formula>
    </cfRule>
    <cfRule type="notContainsBlanks" dxfId="4" priority="2">
      <formula>LEN(TRIM(J31))&gt;0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10" workbookViewId="0">
      <selection activeCell="B23" sqref="B23"/>
    </sheetView>
  </sheetViews>
  <sheetFormatPr baseColWidth="10" defaultRowHeight="15" x14ac:dyDescent="0.25"/>
  <cols>
    <col min="1" max="1" width="17" customWidth="1"/>
    <col min="2" max="2" width="13.5703125" bestFit="1" customWidth="1"/>
    <col min="6" max="6" width="12.28515625" customWidth="1"/>
    <col min="14" max="14" width="17.85546875" customWidth="1"/>
    <col min="15" max="15" width="20.28515625" customWidth="1"/>
    <col min="16" max="16" width="17.28515625" customWidth="1"/>
  </cols>
  <sheetData>
    <row r="1" spans="1:16" x14ac:dyDescent="0.25">
      <c r="C1" s="118" t="s">
        <v>3</v>
      </c>
      <c r="D1" s="119"/>
      <c r="E1" s="119"/>
      <c r="F1" s="120"/>
      <c r="G1" s="121" t="s">
        <v>53</v>
      </c>
      <c r="H1" s="122"/>
      <c r="I1" s="122"/>
    </row>
    <row r="2" spans="1:16" x14ac:dyDescent="0.25">
      <c r="C2" s="12" t="s">
        <v>1</v>
      </c>
      <c r="D2" s="10"/>
      <c r="E2" s="11">
        <v>8.84</v>
      </c>
      <c r="F2" s="13" t="s">
        <v>2</v>
      </c>
      <c r="G2" s="121" t="s">
        <v>54</v>
      </c>
      <c r="H2" s="122"/>
      <c r="I2" s="122"/>
    </row>
    <row r="3" spans="1:16" ht="15.75" thickBot="1" x14ac:dyDescent="0.3">
      <c r="C3" s="4" t="s">
        <v>7</v>
      </c>
      <c r="D3" s="5"/>
      <c r="E3" s="5">
        <v>0.14929999999999999</v>
      </c>
      <c r="F3" s="6" t="s">
        <v>8</v>
      </c>
    </row>
    <row r="6" spans="1:16" ht="47.25" customHeight="1" x14ac:dyDescent="0.25">
      <c r="A6" s="7"/>
      <c r="B6" s="8" t="s">
        <v>9</v>
      </c>
      <c r="C6" s="8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33</v>
      </c>
      <c r="J6" s="8" t="s">
        <v>17</v>
      </c>
      <c r="K6" s="8" t="s">
        <v>18</v>
      </c>
      <c r="L6" s="8" t="s">
        <v>19</v>
      </c>
      <c r="M6" s="8" t="s">
        <v>34</v>
      </c>
      <c r="N6" s="14" t="s">
        <v>25</v>
      </c>
      <c r="O6" s="18" t="s">
        <v>32</v>
      </c>
      <c r="P6" s="67" t="s">
        <v>40</v>
      </c>
    </row>
    <row r="7" spans="1:16" ht="31.5" customHeight="1" x14ac:dyDescent="0.25">
      <c r="A7" s="17" t="s">
        <v>30</v>
      </c>
      <c r="B7" s="29">
        <v>371</v>
      </c>
      <c r="C7" s="29">
        <v>524</v>
      </c>
      <c r="D7" s="29">
        <v>936</v>
      </c>
      <c r="E7" s="29">
        <v>1226</v>
      </c>
      <c r="F7" s="29">
        <v>1334</v>
      </c>
      <c r="G7" s="29">
        <v>1499</v>
      </c>
      <c r="H7" s="29">
        <v>1574</v>
      </c>
      <c r="I7" s="29">
        <v>1353</v>
      </c>
      <c r="J7" s="29">
        <v>1074</v>
      </c>
      <c r="K7" s="29">
        <v>725</v>
      </c>
      <c r="L7" s="29">
        <v>460</v>
      </c>
      <c r="M7" s="29">
        <v>340</v>
      </c>
      <c r="N7" s="51">
        <f>SUM(B7:M7)</f>
        <v>11416</v>
      </c>
    </row>
    <row r="8" spans="1:16" ht="31.5" customHeight="1" x14ac:dyDescent="0.25">
      <c r="A8" s="15" t="s">
        <v>31</v>
      </c>
      <c r="B8" s="27">
        <f>B7*0.1493</f>
        <v>55.390299999999996</v>
      </c>
      <c r="C8" s="27">
        <f t="shared" ref="C8:M8" si="0">C7*0.1493</f>
        <v>78.233199999999997</v>
      </c>
      <c r="D8" s="27">
        <f t="shared" si="0"/>
        <v>139.7448</v>
      </c>
      <c r="E8" s="27">
        <f t="shared" si="0"/>
        <v>183.04179999999999</v>
      </c>
      <c r="F8" s="27">
        <f t="shared" si="0"/>
        <v>199.16619999999998</v>
      </c>
      <c r="G8" s="27">
        <f t="shared" si="0"/>
        <v>223.80069999999998</v>
      </c>
      <c r="H8" s="27">
        <f t="shared" si="0"/>
        <v>234.99819999999997</v>
      </c>
      <c r="I8" s="27">
        <f t="shared" si="0"/>
        <v>202.00289999999998</v>
      </c>
      <c r="J8" s="27">
        <f t="shared" si="0"/>
        <v>160.34819999999999</v>
      </c>
      <c r="K8" s="27">
        <f t="shared" si="0"/>
        <v>108.24249999999999</v>
      </c>
      <c r="L8" s="27">
        <f t="shared" si="0"/>
        <v>68.677999999999997</v>
      </c>
      <c r="M8" s="27">
        <f t="shared" si="0"/>
        <v>50.761999999999993</v>
      </c>
      <c r="N8" s="27">
        <f>SUM(B8:M8)</f>
        <v>1704.4087999999999</v>
      </c>
    </row>
    <row r="9" spans="1:16" ht="30" x14ac:dyDescent="0.25">
      <c r="A9" s="35" t="s">
        <v>6</v>
      </c>
      <c r="B9" s="31">
        <v>446</v>
      </c>
      <c r="C9" s="31">
        <v>588</v>
      </c>
      <c r="D9" s="31">
        <v>825</v>
      </c>
      <c r="E9" s="31">
        <v>1089</v>
      </c>
      <c r="F9" s="31">
        <v>1411</v>
      </c>
      <c r="G9" s="31">
        <v>1230</v>
      </c>
      <c r="H9" s="31">
        <v>1217</v>
      </c>
      <c r="I9" s="31">
        <v>1205</v>
      </c>
      <c r="J9" s="31">
        <v>1045</v>
      </c>
      <c r="K9" s="31">
        <v>650</v>
      </c>
      <c r="L9" s="31">
        <v>487</v>
      </c>
      <c r="M9" s="31">
        <v>270</v>
      </c>
      <c r="N9" s="52">
        <f>SUM(B9:M9)</f>
        <v>10463</v>
      </c>
      <c r="P9" s="68">
        <f>N9/8.84</f>
        <v>1183.5972850678734</v>
      </c>
    </row>
    <row r="10" spans="1:16" ht="29.25" customHeight="1" x14ac:dyDescent="0.25">
      <c r="A10" s="30" t="s">
        <v>24</v>
      </c>
      <c r="B10" s="33">
        <f t="shared" ref="B10:M10" si="1">B9*0.1493</f>
        <v>66.587800000000001</v>
      </c>
      <c r="C10" s="33">
        <f t="shared" si="1"/>
        <v>87.788399999999996</v>
      </c>
      <c r="D10" s="33">
        <f t="shared" si="1"/>
        <v>123.17249999999999</v>
      </c>
      <c r="E10" s="33">
        <f t="shared" si="1"/>
        <v>162.58769999999998</v>
      </c>
      <c r="F10" s="33">
        <f t="shared" si="1"/>
        <v>210.66229999999999</v>
      </c>
      <c r="G10" s="33">
        <f t="shared" si="1"/>
        <v>183.63899999999998</v>
      </c>
      <c r="H10" s="33">
        <f t="shared" si="1"/>
        <v>181.69809999999998</v>
      </c>
      <c r="I10" s="33">
        <f t="shared" si="1"/>
        <v>179.90649999999999</v>
      </c>
      <c r="J10" s="33">
        <f t="shared" si="1"/>
        <v>156.01849999999999</v>
      </c>
      <c r="K10" s="33">
        <f t="shared" si="1"/>
        <v>97.044999999999987</v>
      </c>
      <c r="L10" s="33">
        <f t="shared" si="1"/>
        <v>72.709099999999992</v>
      </c>
      <c r="M10" s="33">
        <f t="shared" si="1"/>
        <v>40.311</v>
      </c>
      <c r="N10" s="53">
        <f>N9*0.1493</f>
        <v>1562.1258999999998</v>
      </c>
      <c r="O10" s="47">
        <f>(N10/15029)*100</f>
        <v>10.394077450262824</v>
      </c>
    </row>
    <row r="11" spans="1:16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50"/>
    </row>
    <row r="12" spans="1:16" ht="30" x14ac:dyDescent="0.25">
      <c r="A12" s="35" t="s">
        <v>35</v>
      </c>
      <c r="B12" s="60">
        <v>307</v>
      </c>
      <c r="C12" s="60">
        <v>647</v>
      </c>
      <c r="D12" s="60">
        <v>793</v>
      </c>
      <c r="E12" s="88">
        <v>1192.7</v>
      </c>
      <c r="F12" s="88">
        <v>1371.4</v>
      </c>
      <c r="G12" s="88">
        <v>1217.8</v>
      </c>
      <c r="H12" s="88">
        <v>1294.4000000000001</v>
      </c>
      <c r="I12" s="88">
        <v>1159.5</v>
      </c>
      <c r="J12" s="88">
        <v>1004.6</v>
      </c>
      <c r="K12" s="88">
        <v>711.4</v>
      </c>
      <c r="L12" s="88">
        <v>381.5</v>
      </c>
      <c r="M12" s="88">
        <v>282.39999999999998</v>
      </c>
      <c r="N12" s="89">
        <f>SUM(B12:M12)</f>
        <v>10362.700000000001</v>
      </c>
      <c r="P12" s="68">
        <f>N12/8.84</f>
        <v>1172.2511312217196</v>
      </c>
    </row>
    <row r="13" spans="1:16" ht="30" x14ac:dyDescent="0.25">
      <c r="A13" s="30" t="s">
        <v>22</v>
      </c>
      <c r="B13" s="33">
        <f t="shared" ref="B13:M13" si="2">B12*0.1493</f>
        <v>45.835099999999997</v>
      </c>
      <c r="C13" s="33">
        <f t="shared" si="2"/>
        <v>96.597099999999998</v>
      </c>
      <c r="D13" s="33">
        <f t="shared" si="2"/>
        <v>118.39489999999999</v>
      </c>
      <c r="E13" s="33">
        <f t="shared" si="2"/>
        <v>178.07011</v>
      </c>
      <c r="F13" s="33">
        <f t="shared" si="2"/>
        <v>204.75002000000001</v>
      </c>
      <c r="G13" s="33">
        <f t="shared" si="2"/>
        <v>181.81753999999998</v>
      </c>
      <c r="H13" s="33">
        <f t="shared" si="2"/>
        <v>193.25391999999999</v>
      </c>
      <c r="I13" s="33">
        <f t="shared" si="2"/>
        <v>173.11335</v>
      </c>
      <c r="J13" s="33">
        <f t="shared" si="2"/>
        <v>149.98677999999998</v>
      </c>
      <c r="K13" s="33">
        <f t="shared" si="2"/>
        <v>106.21201999999998</v>
      </c>
      <c r="L13" s="33">
        <f t="shared" si="2"/>
        <v>56.957949999999997</v>
      </c>
      <c r="M13" s="33">
        <f t="shared" si="2"/>
        <v>42.162319999999994</v>
      </c>
      <c r="N13" s="48">
        <f>SUM(B13:M13)</f>
        <v>1547.1511099999998</v>
      </c>
      <c r="O13" s="47">
        <f>(N13/15029)*100</f>
        <v>10.294438152904384</v>
      </c>
    </row>
    <row r="14" spans="1:16" ht="30" x14ac:dyDescent="0.25">
      <c r="A14" s="17" t="s">
        <v>30</v>
      </c>
      <c r="B14" s="29">
        <v>371</v>
      </c>
      <c r="C14" s="29">
        <v>524</v>
      </c>
      <c r="D14" s="29">
        <v>936</v>
      </c>
      <c r="E14" s="29">
        <v>1226</v>
      </c>
      <c r="F14" s="29">
        <v>1334</v>
      </c>
      <c r="G14" s="29">
        <v>1499</v>
      </c>
      <c r="H14" s="29">
        <v>1574</v>
      </c>
      <c r="I14" s="29">
        <v>1353</v>
      </c>
      <c r="J14" s="29">
        <v>1074</v>
      </c>
      <c r="K14" s="29">
        <v>725</v>
      </c>
      <c r="L14" s="29">
        <v>460</v>
      </c>
      <c r="M14" s="29">
        <v>340</v>
      </c>
      <c r="N14" s="51">
        <f>SUM(B14:M14)</f>
        <v>11416</v>
      </c>
    </row>
    <row r="15" spans="1:16" ht="34.5" customHeight="1" x14ac:dyDescent="0.25">
      <c r="A15" s="91" t="s">
        <v>55</v>
      </c>
      <c r="B15" s="92">
        <f>(B12/B7)*100</f>
        <v>82.749326145552558</v>
      </c>
      <c r="C15" s="92">
        <f t="shared" ref="C15:N15" si="3">(C12/C7)*100</f>
        <v>123.47328244274809</v>
      </c>
      <c r="D15" s="92">
        <f t="shared" si="3"/>
        <v>84.722222222222214</v>
      </c>
      <c r="E15" s="92">
        <f t="shared" si="3"/>
        <v>97.283849918433944</v>
      </c>
      <c r="F15" s="92">
        <f t="shared" si="3"/>
        <v>102.80359820089954</v>
      </c>
      <c r="G15" s="92">
        <f t="shared" si="3"/>
        <v>81.240827218145427</v>
      </c>
      <c r="H15" s="92">
        <f t="shared" si="3"/>
        <v>82.236340533672177</v>
      </c>
      <c r="I15" s="92">
        <f t="shared" si="3"/>
        <v>85.698447893569835</v>
      </c>
      <c r="J15" s="92">
        <f t="shared" si="3"/>
        <v>93.53817504655494</v>
      </c>
      <c r="K15" s="92">
        <f t="shared" si="3"/>
        <v>98.124137931034483</v>
      </c>
      <c r="L15" s="92">
        <f t="shared" si="3"/>
        <v>82.934782608695656</v>
      </c>
      <c r="M15" s="92">
        <f t="shared" si="3"/>
        <v>83.058823529411768</v>
      </c>
      <c r="N15" s="92">
        <f t="shared" si="3"/>
        <v>90.773475823405761</v>
      </c>
    </row>
    <row r="16" spans="1:16" x14ac:dyDescent="0.25">
      <c r="A16" s="3"/>
    </row>
    <row r="17" spans="1:14" ht="30" x14ac:dyDescent="0.25">
      <c r="A17" s="35" t="s">
        <v>69</v>
      </c>
      <c r="B17" s="60">
        <v>348.3</v>
      </c>
      <c r="C17" s="60">
        <v>398.9</v>
      </c>
      <c r="D17" s="60">
        <v>794.4</v>
      </c>
      <c r="E17" s="88">
        <v>1126.8</v>
      </c>
      <c r="F17" s="88">
        <v>977.6</v>
      </c>
      <c r="G17" s="88">
        <v>774.9</v>
      </c>
      <c r="H17" s="88">
        <v>1110.2</v>
      </c>
      <c r="I17" s="88">
        <v>1173.2</v>
      </c>
      <c r="J17" s="88">
        <v>868.1</v>
      </c>
      <c r="K17" s="88">
        <v>568.5</v>
      </c>
      <c r="L17" s="88">
        <v>441.7</v>
      </c>
      <c r="M17" s="88">
        <v>326.10000000000002</v>
      </c>
      <c r="N17" s="89">
        <f>SUM(B17:M17)</f>
        <v>8908.7000000000007</v>
      </c>
    </row>
    <row r="18" spans="1:14" ht="30" x14ac:dyDescent="0.25">
      <c r="A18" s="30" t="s">
        <v>22</v>
      </c>
      <c r="B18" s="33">
        <f t="shared" ref="B18:I18" si="4">B17*0.1493</f>
        <v>52.001190000000001</v>
      </c>
      <c r="C18" s="33">
        <f t="shared" si="4"/>
        <v>59.555769999999995</v>
      </c>
      <c r="D18" s="33">
        <f t="shared" si="4"/>
        <v>118.60391999999999</v>
      </c>
      <c r="E18" s="33">
        <f t="shared" si="4"/>
        <v>168.23123999999999</v>
      </c>
      <c r="F18" s="33">
        <f t="shared" si="4"/>
        <v>145.95568</v>
      </c>
      <c r="G18" s="33">
        <f t="shared" si="4"/>
        <v>115.69256999999999</v>
      </c>
      <c r="H18" s="33">
        <f t="shared" si="4"/>
        <v>165.75286</v>
      </c>
      <c r="I18" s="33">
        <f t="shared" si="4"/>
        <v>175.15876</v>
      </c>
      <c r="J18" s="33">
        <f t="shared" ref="J18:M18" si="5">J17*0.1493</f>
        <v>129.60732999999999</v>
      </c>
      <c r="K18" s="33">
        <f t="shared" si="5"/>
        <v>84.877049999999997</v>
      </c>
      <c r="L18" s="33">
        <f t="shared" si="5"/>
        <v>65.945809999999994</v>
      </c>
      <c r="M18" s="33">
        <f t="shared" si="5"/>
        <v>48.686729999999997</v>
      </c>
      <c r="N18" s="48">
        <f>SUM(B18:M18)</f>
        <v>1330.06891</v>
      </c>
    </row>
    <row r="19" spans="1:14" ht="30" x14ac:dyDescent="0.25">
      <c r="A19" s="17" t="s">
        <v>30</v>
      </c>
      <c r="B19" s="29">
        <f t="shared" ref="B19:I19" si="6">B7</f>
        <v>371</v>
      </c>
      <c r="C19" s="29">
        <f t="shared" si="6"/>
        <v>524</v>
      </c>
      <c r="D19" s="29">
        <f t="shared" si="6"/>
        <v>936</v>
      </c>
      <c r="E19" s="29">
        <f t="shared" si="6"/>
        <v>1226</v>
      </c>
      <c r="F19" s="29">
        <f t="shared" si="6"/>
        <v>1334</v>
      </c>
      <c r="G19" s="29">
        <f t="shared" si="6"/>
        <v>1499</v>
      </c>
      <c r="H19" s="29">
        <f t="shared" si="6"/>
        <v>1574</v>
      </c>
      <c r="I19" s="29">
        <f t="shared" si="6"/>
        <v>1353</v>
      </c>
      <c r="J19" s="29">
        <f t="shared" ref="J19:M19" si="7">J7</f>
        <v>1074</v>
      </c>
      <c r="K19" s="29">
        <f t="shared" si="7"/>
        <v>725</v>
      </c>
      <c r="L19" s="29">
        <f t="shared" si="7"/>
        <v>460</v>
      </c>
      <c r="M19" s="29">
        <f t="shared" si="7"/>
        <v>340</v>
      </c>
      <c r="N19" s="51">
        <f>SUM(B19:M19)</f>
        <v>11416</v>
      </c>
    </row>
    <row r="20" spans="1:14" ht="30" x14ac:dyDescent="0.25">
      <c r="A20" s="91" t="s">
        <v>55</v>
      </c>
      <c r="B20" s="92">
        <f t="shared" ref="B20:I20" si="8">(B17/B19)*100</f>
        <v>93.881401617250688</v>
      </c>
      <c r="C20" s="92">
        <f t="shared" si="8"/>
        <v>76.125954198473281</v>
      </c>
      <c r="D20" s="92">
        <f t="shared" si="8"/>
        <v>84.871794871794876</v>
      </c>
      <c r="E20" s="92">
        <f t="shared" si="8"/>
        <v>91.908646003262646</v>
      </c>
      <c r="F20" s="92">
        <f t="shared" si="8"/>
        <v>73.283358320839582</v>
      </c>
      <c r="G20" s="92">
        <f t="shared" si="8"/>
        <v>51.694462975316881</v>
      </c>
      <c r="H20" s="92">
        <f t="shared" si="8"/>
        <v>70.533672172808139</v>
      </c>
      <c r="I20" s="92">
        <f t="shared" si="8"/>
        <v>86.711012564671108</v>
      </c>
      <c r="J20" s="92">
        <f t="shared" ref="J20:M20" si="9">(J17/J19)*100</f>
        <v>80.828677839851025</v>
      </c>
      <c r="K20" s="92">
        <f t="shared" si="9"/>
        <v>78.41379310344827</v>
      </c>
      <c r="L20" s="92">
        <f t="shared" si="9"/>
        <v>96.021739130434781</v>
      </c>
      <c r="M20" s="92">
        <f t="shared" si="9"/>
        <v>95.911764705882362</v>
      </c>
      <c r="N20" s="92">
        <f>(N17/N19)*100</f>
        <v>78.036965662228454</v>
      </c>
    </row>
    <row r="21" spans="1:14" x14ac:dyDescent="0.25">
      <c r="A21" s="3"/>
    </row>
    <row r="22" spans="1:14" ht="30" x14ac:dyDescent="0.25">
      <c r="A22" s="35" t="s">
        <v>84</v>
      </c>
      <c r="B22" s="60">
        <v>301.48899999999998</v>
      </c>
      <c r="C22" s="60"/>
      <c r="D22" s="60"/>
      <c r="E22" s="88"/>
      <c r="F22" s="88"/>
      <c r="G22" s="88"/>
      <c r="H22" s="88"/>
      <c r="I22" s="88"/>
      <c r="J22" s="88"/>
      <c r="K22" s="88"/>
      <c r="L22" s="88"/>
      <c r="M22" s="88"/>
      <c r="N22" s="89">
        <f>SUM(B22:M22)</f>
        <v>301.48899999999998</v>
      </c>
    </row>
    <row r="23" spans="1:14" ht="30" x14ac:dyDescent="0.25">
      <c r="A23" s="30" t="s">
        <v>22</v>
      </c>
      <c r="B23" s="33">
        <f t="shared" ref="B23:M23" si="10">B22*0.1493</f>
        <v>45.012307699999994</v>
      </c>
      <c r="C23" s="33">
        <f t="shared" si="10"/>
        <v>0</v>
      </c>
      <c r="D23" s="33">
        <f t="shared" si="10"/>
        <v>0</v>
      </c>
      <c r="E23" s="33">
        <f t="shared" si="10"/>
        <v>0</v>
      </c>
      <c r="F23" s="33">
        <f t="shared" si="10"/>
        <v>0</v>
      </c>
      <c r="G23" s="33">
        <f t="shared" si="10"/>
        <v>0</v>
      </c>
      <c r="H23" s="33">
        <f t="shared" si="10"/>
        <v>0</v>
      </c>
      <c r="I23" s="33">
        <f t="shared" si="10"/>
        <v>0</v>
      </c>
      <c r="J23" s="33">
        <f t="shared" si="10"/>
        <v>0</v>
      </c>
      <c r="K23" s="33">
        <f t="shared" si="10"/>
        <v>0</v>
      </c>
      <c r="L23" s="33">
        <f t="shared" si="10"/>
        <v>0</v>
      </c>
      <c r="M23" s="33">
        <f t="shared" si="10"/>
        <v>0</v>
      </c>
      <c r="N23" s="48">
        <f>SUM(B23:M23)</f>
        <v>45.012307699999994</v>
      </c>
    </row>
    <row r="24" spans="1:14" ht="30" x14ac:dyDescent="0.25">
      <c r="A24" s="17" t="s">
        <v>30</v>
      </c>
      <c r="B24" s="29">
        <f t="shared" ref="B24" si="11">B12</f>
        <v>307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51">
        <f>SUM(B24:M24)</f>
        <v>307</v>
      </c>
    </row>
    <row r="25" spans="1:14" ht="30" x14ac:dyDescent="0.25">
      <c r="A25" s="91" t="s">
        <v>55</v>
      </c>
      <c r="B25" s="92">
        <f t="shared" ref="B25" si="12">(B22/B24)*100</f>
        <v>98.204885993485334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>
        <f>(N22/N24)*100</f>
        <v>98.204885993485334</v>
      </c>
    </row>
    <row r="26" spans="1:14" x14ac:dyDescent="0.25">
      <c r="G26" s="103"/>
    </row>
    <row r="27" spans="1:14" x14ac:dyDescent="0.25">
      <c r="G27" s="103"/>
    </row>
    <row r="28" spans="1:14" x14ac:dyDescent="0.25">
      <c r="G28" s="103"/>
    </row>
    <row r="29" spans="1:14" x14ac:dyDescent="0.25">
      <c r="G29" s="103"/>
    </row>
    <row r="30" spans="1:14" x14ac:dyDescent="0.25">
      <c r="G30" s="103"/>
    </row>
    <row r="31" spans="1:14" x14ac:dyDescent="0.25">
      <c r="G31" s="103"/>
    </row>
    <row r="32" spans="1:14" x14ac:dyDescent="0.25">
      <c r="G32" s="103"/>
    </row>
    <row r="33" spans="7:7" x14ac:dyDescent="0.25">
      <c r="G33" s="103"/>
    </row>
    <row r="34" spans="7:7" x14ac:dyDescent="0.25">
      <c r="G34" s="103"/>
    </row>
    <row r="35" spans="7:7" x14ac:dyDescent="0.25">
      <c r="G35" s="103"/>
    </row>
    <row r="36" spans="7:7" x14ac:dyDescent="0.25">
      <c r="G36" s="103"/>
    </row>
    <row r="37" spans="7:7" x14ac:dyDescent="0.25">
      <c r="G37" s="103"/>
    </row>
    <row r="38" spans="7:7" x14ac:dyDescent="0.25">
      <c r="G38" s="103"/>
    </row>
    <row r="39" spans="7:7" x14ac:dyDescent="0.25">
      <c r="G39" s="103"/>
    </row>
    <row r="40" spans="7:7" x14ac:dyDescent="0.25">
      <c r="G40" s="103"/>
    </row>
    <row r="41" spans="7:7" x14ac:dyDescent="0.25">
      <c r="G41" s="103"/>
    </row>
    <row r="42" spans="7:7" x14ac:dyDescent="0.25">
      <c r="G42" s="103"/>
    </row>
    <row r="43" spans="7:7" x14ac:dyDescent="0.25">
      <c r="G43" s="103"/>
    </row>
    <row r="44" spans="7:7" x14ac:dyDescent="0.25">
      <c r="G44" s="103"/>
    </row>
    <row r="45" spans="7:7" x14ac:dyDescent="0.25">
      <c r="G45" s="103"/>
    </row>
    <row r="46" spans="7:7" x14ac:dyDescent="0.25">
      <c r="G46" s="104"/>
    </row>
  </sheetData>
  <mergeCells count="3">
    <mergeCell ref="C1:F1"/>
    <mergeCell ref="G1:I1"/>
    <mergeCell ref="G2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topLeftCell="A10" workbookViewId="0">
      <selection activeCell="B23" sqref="B23"/>
    </sheetView>
  </sheetViews>
  <sheetFormatPr baseColWidth="10" defaultRowHeight="15" x14ac:dyDescent="0.25"/>
  <cols>
    <col min="1" max="1" width="18.42578125" customWidth="1"/>
    <col min="2" max="2" width="13.28515625" bestFit="1" customWidth="1"/>
    <col min="14" max="14" width="17.85546875" customWidth="1"/>
    <col min="15" max="15" width="21" customWidth="1"/>
    <col min="16" max="16" width="16.7109375" customWidth="1"/>
  </cols>
  <sheetData>
    <row r="1" spans="1:16" x14ac:dyDescent="0.25">
      <c r="C1" s="118" t="s">
        <v>4</v>
      </c>
      <c r="D1" s="119"/>
      <c r="E1" s="119"/>
      <c r="F1" s="120"/>
      <c r="G1" s="121" t="s">
        <v>49</v>
      </c>
      <c r="H1" s="122"/>
      <c r="I1" s="122"/>
    </row>
    <row r="2" spans="1:16" x14ac:dyDescent="0.25">
      <c r="C2" s="12" t="s">
        <v>1</v>
      </c>
      <c r="D2" s="10"/>
      <c r="E2" s="11">
        <v>22.44</v>
      </c>
      <c r="F2" s="13" t="s">
        <v>2</v>
      </c>
    </row>
    <row r="3" spans="1:16" ht="15.75" thickBot="1" x14ac:dyDescent="0.3">
      <c r="C3" s="4" t="s">
        <v>7</v>
      </c>
      <c r="D3" s="5"/>
      <c r="E3" s="5">
        <v>0.10639999999999999</v>
      </c>
      <c r="F3" s="6" t="s">
        <v>8</v>
      </c>
    </row>
    <row r="5" spans="1:16" x14ac:dyDescent="0.25">
      <c r="B5" t="s">
        <v>27</v>
      </c>
    </row>
    <row r="6" spans="1:16" ht="47.25" customHeight="1" x14ac:dyDescent="0.25">
      <c r="A6" s="7"/>
      <c r="B6" s="8" t="s">
        <v>9</v>
      </c>
      <c r="C6" s="8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33</v>
      </c>
      <c r="J6" s="8" t="s">
        <v>17</v>
      </c>
      <c r="K6" s="8" t="s">
        <v>18</v>
      </c>
      <c r="L6" s="8" t="s">
        <v>19</v>
      </c>
      <c r="M6" s="8" t="s">
        <v>34</v>
      </c>
      <c r="N6" s="14" t="s">
        <v>25</v>
      </c>
      <c r="O6" s="18" t="s">
        <v>32</v>
      </c>
      <c r="P6" s="67" t="s">
        <v>40</v>
      </c>
    </row>
    <row r="7" spans="1:16" ht="31.5" customHeight="1" x14ac:dyDescent="0.25">
      <c r="A7" s="15" t="s">
        <v>30</v>
      </c>
      <c r="B7" s="38">
        <v>829</v>
      </c>
      <c r="C7" s="40">
        <v>1133</v>
      </c>
      <c r="D7" s="40">
        <v>2143</v>
      </c>
      <c r="E7" s="40">
        <v>3034</v>
      </c>
      <c r="F7" s="40">
        <v>3314</v>
      </c>
      <c r="G7" s="40">
        <v>3746</v>
      </c>
      <c r="H7" s="40">
        <v>3948</v>
      </c>
      <c r="I7" s="40">
        <v>3359</v>
      </c>
      <c r="J7" s="40">
        <v>2710</v>
      </c>
      <c r="K7" s="40">
        <v>1881</v>
      </c>
      <c r="L7" s="40">
        <v>1149</v>
      </c>
      <c r="M7" s="40">
        <v>812</v>
      </c>
      <c r="N7" s="54">
        <f>SUM(B7:M7)</f>
        <v>28058</v>
      </c>
    </row>
    <row r="8" spans="1:16" ht="31.5" customHeight="1" x14ac:dyDescent="0.25">
      <c r="A8" s="15" t="s">
        <v>31</v>
      </c>
      <c r="B8" s="27">
        <f>B7*0.1064</f>
        <v>88.20559999999999</v>
      </c>
      <c r="C8" s="27">
        <f t="shared" ref="C8:M8" si="0">C7*0.1064</f>
        <v>120.55119999999999</v>
      </c>
      <c r="D8" s="27">
        <f t="shared" si="0"/>
        <v>228.01519999999999</v>
      </c>
      <c r="E8" s="27">
        <f t="shared" si="0"/>
        <v>322.81759999999997</v>
      </c>
      <c r="F8" s="27">
        <f t="shared" si="0"/>
        <v>352.6096</v>
      </c>
      <c r="G8" s="27">
        <f t="shared" si="0"/>
        <v>398.57439999999997</v>
      </c>
      <c r="H8" s="27">
        <f t="shared" si="0"/>
        <v>420.06719999999996</v>
      </c>
      <c r="I8" s="27">
        <f t="shared" si="0"/>
        <v>357.39759999999995</v>
      </c>
      <c r="J8" s="27">
        <f t="shared" si="0"/>
        <v>288.34399999999999</v>
      </c>
      <c r="K8" s="27">
        <f t="shared" si="0"/>
        <v>200.13839999999999</v>
      </c>
      <c r="L8" s="27">
        <f t="shared" si="0"/>
        <v>122.25359999999999</v>
      </c>
      <c r="M8" s="27">
        <f t="shared" si="0"/>
        <v>86.396799999999999</v>
      </c>
      <c r="N8" s="39">
        <f>SUM(B8:M8)</f>
        <v>2985.3711999999996</v>
      </c>
    </row>
    <row r="9" spans="1:16" ht="30" x14ac:dyDescent="0.25">
      <c r="A9" s="35" t="s">
        <v>6</v>
      </c>
      <c r="B9" s="40">
        <v>955</v>
      </c>
      <c r="C9" s="40">
        <v>1433</v>
      </c>
      <c r="D9" s="40">
        <v>2240</v>
      </c>
      <c r="E9" s="40">
        <v>3039</v>
      </c>
      <c r="F9" s="40">
        <v>4257</v>
      </c>
      <c r="G9" s="40">
        <v>3869</v>
      </c>
      <c r="H9" s="40">
        <v>4532</v>
      </c>
      <c r="I9" s="40">
        <v>3537</v>
      </c>
      <c r="J9" s="40">
        <v>2844</v>
      </c>
      <c r="K9" s="40">
        <v>1710</v>
      </c>
      <c r="L9" s="40">
        <v>1148.5</v>
      </c>
      <c r="M9" s="40">
        <v>638</v>
      </c>
      <c r="N9" s="41">
        <f>SUM(B9:M9)</f>
        <v>30202.5</v>
      </c>
      <c r="P9" s="68">
        <f>N9/22.44</f>
        <v>1345.922459893048</v>
      </c>
    </row>
    <row r="10" spans="1:16" ht="30" x14ac:dyDescent="0.25">
      <c r="A10" s="30" t="s">
        <v>24</v>
      </c>
      <c r="B10" s="33">
        <f t="shared" ref="B10:M10" si="1">B9*0.1064</f>
        <v>101.61199999999999</v>
      </c>
      <c r="C10" s="33">
        <f t="shared" si="1"/>
        <v>152.47119999999998</v>
      </c>
      <c r="D10" s="33">
        <f t="shared" si="1"/>
        <v>238.33599999999998</v>
      </c>
      <c r="E10" s="33">
        <f t="shared" si="1"/>
        <v>323.34960000000001</v>
      </c>
      <c r="F10" s="33">
        <f t="shared" si="1"/>
        <v>452.94479999999999</v>
      </c>
      <c r="G10" s="33">
        <f t="shared" si="1"/>
        <v>411.66159999999996</v>
      </c>
      <c r="H10" s="33">
        <f t="shared" si="1"/>
        <v>482.20479999999998</v>
      </c>
      <c r="I10" s="33">
        <f t="shared" si="1"/>
        <v>376.33679999999998</v>
      </c>
      <c r="J10" s="33">
        <f t="shared" si="1"/>
        <v>302.60159999999996</v>
      </c>
      <c r="K10" s="33">
        <f t="shared" si="1"/>
        <v>181.94399999999999</v>
      </c>
      <c r="L10" s="33">
        <f t="shared" si="1"/>
        <v>122.20039999999999</v>
      </c>
      <c r="M10" s="33">
        <f t="shared" si="1"/>
        <v>67.883200000000002</v>
      </c>
      <c r="N10" s="42">
        <f>N9*0.1064</f>
        <v>3213.5459999999998</v>
      </c>
      <c r="O10" s="47">
        <f>(N10/19108)*100</f>
        <v>16.817804061126228</v>
      </c>
    </row>
    <row r="11" spans="1:16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6" ht="30" x14ac:dyDescent="0.25">
      <c r="A12" s="35" t="s">
        <v>35</v>
      </c>
      <c r="B12" s="88">
        <v>783</v>
      </c>
      <c r="C12" s="88">
        <v>1652</v>
      </c>
      <c r="D12" s="88">
        <v>2131</v>
      </c>
      <c r="E12" s="88">
        <v>3385.5</v>
      </c>
      <c r="F12" s="88">
        <v>4118.8999999999996</v>
      </c>
      <c r="G12" s="88">
        <v>3917.4</v>
      </c>
      <c r="H12" s="88">
        <v>3872.8</v>
      </c>
      <c r="I12" s="88">
        <v>3359.7</v>
      </c>
      <c r="J12" s="88">
        <v>2730.7</v>
      </c>
      <c r="K12" s="88">
        <v>1825</v>
      </c>
      <c r="L12" s="88">
        <v>987.7</v>
      </c>
      <c r="M12" s="88">
        <v>735.8</v>
      </c>
      <c r="N12" s="89">
        <f>SUM(B12:M12)</f>
        <v>29499.5</v>
      </c>
      <c r="P12" s="68">
        <f>N12/22.44</f>
        <v>1314.5944741532976</v>
      </c>
    </row>
    <row r="13" spans="1:16" ht="30" x14ac:dyDescent="0.25">
      <c r="A13" s="30" t="s">
        <v>22</v>
      </c>
      <c r="B13" s="59">
        <f t="shared" ref="B13:M13" si="2">B12*0.1064</f>
        <v>83.311199999999999</v>
      </c>
      <c r="C13" s="59">
        <f t="shared" si="2"/>
        <v>175.77279999999999</v>
      </c>
      <c r="D13" s="59">
        <f t="shared" si="2"/>
        <v>226.73839999999998</v>
      </c>
      <c r="E13" s="59">
        <f t="shared" si="2"/>
        <v>360.21719999999999</v>
      </c>
      <c r="F13" s="59">
        <f t="shared" si="2"/>
        <v>438.25095999999996</v>
      </c>
      <c r="G13" s="59">
        <f t="shared" si="2"/>
        <v>416.81135999999998</v>
      </c>
      <c r="H13" s="59">
        <f t="shared" si="2"/>
        <v>412.06592000000001</v>
      </c>
      <c r="I13" s="59">
        <f t="shared" si="2"/>
        <v>357.47207999999995</v>
      </c>
      <c r="J13" s="59">
        <f t="shared" si="2"/>
        <v>290.54647999999997</v>
      </c>
      <c r="K13" s="59">
        <f t="shared" si="2"/>
        <v>194.17999999999998</v>
      </c>
      <c r="L13" s="59">
        <f t="shared" si="2"/>
        <v>105.09128</v>
      </c>
      <c r="M13" s="59">
        <f t="shared" si="2"/>
        <v>78.289119999999997</v>
      </c>
      <c r="N13" s="87">
        <f>SUM(B13:M13)</f>
        <v>3138.7467999999999</v>
      </c>
      <c r="O13" s="47">
        <f>(N13/19108)*100</f>
        <v>16.426349173121206</v>
      </c>
    </row>
    <row r="14" spans="1:16" ht="30" x14ac:dyDescent="0.25">
      <c r="A14" s="15" t="s">
        <v>30</v>
      </c>
      <c r="B14" s="38">
        <v>829</v>
      </c>
      <c r="C14" s="40">
        <v>1133</v>
      </c>
      <c r="D14" s="40">
        <v>2143</v>
      </c>
      <c r="E14" s="40">
        <v>3034</v>
      </c>
      <c r="F14" s="40">
        <v>3314</v>
      </c>
      <c r="G14" s="40">
        <v>3746</v>
      </c>
      <c r="H14" s="40">
        <v>3948</v>
      </c>
      <c r="I14" s="40">
        <v>3359</v>
      </c>
      <c r="J14" s="40">
        <v>2710</v>
      </c>
      <c r="K14" s="40">
        <v>1881</v>
      </c>
      <c r="L14" s="40">
        <v>1149</v>
      </c>
      <c r="M14" s="40">
        <v>812</v>
      </c>
      <c r="N14" s="54">
        <f>SUM(B14:M14)</f>
        <v>28058</v>
      </c>
    </row>
    <row r="15" spans="1:16" ht="31.5" customHeight="1" x14ac:dyDescent="0.25">
      <c r="A15" s="91" t="s">
        <v>55</v>
      </c>
      <c r="B15" s="92">
        <f>(B12/B7)*100</f>
        <v>94.451145958986729</v>
      </c>
      <c r="C15" s="92">
        <f t="shared" ref="C15:L15" si="3">(C12/C7)*100</f>
        <v>145.80759046778465</v>
      </c>
      <c r="D15" s="92">
        <f t="shared" si="3"/>
        <v>99.440037330844604</v>
      </c>
      <c r="E15" s="92">
        <f t="shared" si="3"/>
        <v>111.58536585365854</v>
      </c>
      <c r="F15" s="92">
        <f t="shared" si="3"/>
        <v>124.28786964393481</v>
      </c>
      <c r="G15" s="92">
        <f t="shared" si="3"/>
        <v>104.57554725040043</v>
      </c>
      <c r="H15" s="92">
        <f t="shared" si="3"/>
        <v>98.095238095238102</v>
      </c>
      <c r="I15" s="92">
        <f t="shared" si="3"/>
        <v>100.02083953557606</v>
      </c>
      <c r="J15" s="92">
        <f t="shared" si="3"/>
        <v>100.76383763837637</v>
      </c>
      <c r="K15" s="92">
        <f t="shared" si="3"/>
        <v>97.022860180754918</v>
      </c>
      <c r="L15" s="92">
        <f t="shared" si="3"/>
        <v>85.961705831157531</v>
      </c>
      <c r="M15" s="92">
        <f>(M12/M7)*100</f>
        <v>90.615763546798021</v>
      </c>
      <c r="N15" s="92">
        <f>(N12/N7)*100</f>
        <v>105.13757217192958</v>
      </c>
    </row>
    <row r="16" spans="1:16" x14ac:dyDescent="0.25">
      <c r="A16" s="3"/>
      <c r="G16" s="90"/>
      <c r="H16" s="90"/>
    </row>
    <row r="17" spans="1:14" ht="30" x14ac:dyDescent="0.25">
      <c r="A17" s="35" t="s">
        <v>69</v>
      </c>
      <c r="B17" s="88">
        <v>871.5</v>
      </c>
      <c r="C17" s="88">
        <v>1061</v>
      </c>
      <c r="D17" s="88">
        <v>2142.1999999999998</v>
      </c>
      <c r="E17" s="88">
        <v>3200.4</v>
      </c>
      <c r="F17" s="88">
        <v>3289.1</v>
      </c>
      <c r="G17" s="88">
        <v>3805.8</v>
      </c>
      <c r="H17" s="88">
        <v>3898.7</v>
      </c>
      <c r="I17" s="88">
        <v>3446.5</v>
      </c>
      <c r="J17" s="88">
        <v>2363.1999999999998</v>
      </c>
      <c r="K17" s="88">
        <v>1533</v>
      </c>
      <c r="L17" s="88">
        <v>1085.0999999999999</v>
      </c>
      <c r="M17" s="88">
        <v>787.6</v>
      </c>
      <c r="N17" s="89">
        <f>SUM(B17:M17)</f>
        <v>27484.1</v>
      </c>
    </row>
    <row r="18" spans="1:14" ht="30" x14ac:dyDescent="0.25">
      <c r="A18" s="30" t="s">
        <v>22</v>
      </c>
      <c r="B18" s="59">
        <f t="shared" ref="B18:I18" si="4">B17*0.1064</f>
        <v>92.727599999999995</v>
      </c>
      <c r="C18" s="59">
        <f t="shared" si="4"/>
        <v>112.8904</v>
      </c>
      <c r="D18" s="59">
        <f t="shared" si="4"/>
        <v>227.93007999999998</v>
      </c>
      <c r="E18" s="59">
        <f t="shared" si="4"/>
        <v>340.52256</v>
      </c>
      <c r="F18" s="59">
        <f t="shared" si="4"/>
        <v>349.96024</v>
      </c>
      <c r="G18" s="59">
        <f t="shared" si="4"/>
        <v>404.93711999999999</v>
      </c>
      <c r="H18" s="59">
        <f t="shared" si="4"/>
        <v>414.82167999999996</v>
      </c>
      <c r="I18" s="59">
        <f t="shared" si="4"/>
        <v>366.70759999999996</v>
      </c>
      <c r="J18" s="59">
        <f t="shared" ref="J18:M18" si="5">J17*0.1064</f>
        <v>251.44447999999997</v>
      </c>
      <c r="K18" s="59">
        <f t="shared" si="5"/>
        <v>163.1112</v>
      </c>
      <c r="L18" s="59">
        <f t="shared" si="5"/>
        <v>115.45463999999998</v>
      </c>
      <c r="M18" s="59">
        <f t="shared" si="5"/>
        <v>83.800640000000001</v>
      </c>
      <c r="N18" s="87">
        <f>SUM(B18:M18)</f>
        <v>2924.3082399999994</v>
      </c>
    </row>
    <row r="19" spans="1:14" ht="30" x14ac:dyDescent="0.25">
      <c r="A19" s="15" t="s">
        <v>30</v>
      </c>
      <c r="B19" s="40">
        <f t="shared" ref="B19:I19" si="6">B7</f>
        <v>829</v>
      </c>
      <c r="C19" s="40">
        <f t="shared" si="6"/>
        <v>1133</v>
      </c>
      <c r="D19" s="40">
        <f t="shared" si="6"/>
        <v>2143</v>
      </c>
      <c r="E19" s="40">
        <f t="shared" si="6"/>
        <v>3034</v>
      </c>
      <c r="F19" s="40">
        <f t="shared" si="6"/>
        <v>3314</v>
      </c>
      <c r="G19" s="40">
        <f t="shared" si="6"/>
        <v>3746</v>
      </c>
      <c r="H19" s="40">
        <f t="shared" si="6"/>
        <v>3948</v>
      </c>
      <c r="I19" s="40">
        <f t="shared" si="6"/>
        <v>3359</v>
      </c>
      <c r="J19" s="40">
        <f t="shared" ref="J19:M19" si="7">J7</f>
        <v>2710</v>
      </c>
      <c r="K19" s="40">
        <f t="shared" si="7"/>
        <v>1881</v>
      </c>
      <c r="L19" s="40">
        <f t="shared" si="7"/>
        <v>1149</v>
      </c>
      <c r="M19" s="40">
        <f t="shared" si="7"/>
        <v>812</v>
      </c>
      <c r="N19" s="54">
        <f>SUM(B19:M19)</f>
        <v>28058</v>
      </c>
    </row>
    <row r="20" spans="1:14" ht="30" x14ac:dyDescent="0.25">
      <c r="A20" s="91" t="s">
        <v>55</v>
      </c>
      <c r="B20" s="92">
        <f t="shared" ref="B20:I20" si="8">(B17/B19)*100</f>
        <v>105.12665862484923</v>
      </c>
      <c r="C20" s="92">
        <f t="shared" si="8"/>
        <v>93.64518976169461</v>
      </c>
      <c r="D20" s="92">
        <f t="shared" si="8"/>
        <v>99.962669155389634</v>
      </c>
      <c r="E20" s="92">
        <f t="shared" si="8"/>
        <v>105.48450889914305</v>
      </c>
      <c r="F20" s="92">
        <f t="shared" si="8"/>
        <v>99.248642124321066</v>
      </c>
      <c r="G20" s="92">
        <f t="shared" si="8"/>
        <v>101.59636946075814</v>
      </c>
      <c r="H20" s="92">
        <f t="shared" si="8"/>
        <v>98.751266464032412</v>
      </c>
      <c r="I20" s="92">
        <f t="shared" si="8"/>
        <v>102.60494194700804</v>
      </c>
      <c r="J20" s="92">
        <f t="shared" ref="J20:M20" si="9">(J17/J19)*100</f>
        <v>87.20295202952029</v>
      </c>
      <c r="K20" s="92">
        <f t="shared" si="9"/>
        <v>81.499202551834131</v>
      </c>
      <c r="L20" s="92">
        <f t="shared" si="9"/>
        <v>94.438642297650119</v>
      </c>
      <c r="M20" s="92">
        <f t="shared" si="9"/>
        <v>96.995073891625623</v>
      </c>
      <c r="N20" s="92">
        <f>(N17/N19)*100</f>
        <v>97.954594055171427</v>
      </c>
    </row>
    <row r="21" spans="1:14" x14ac:dyDescent="0.25">
      <c r="A21" s="3"/>
    </row>
    <row r="22" spans="1:14" ht="30" x14ac:dyDescent="0.25">
      <c r="A22" s="35" t="s">
        <v>84</v>
      </c>
      <c r="B22" s="88">
        <v>795.30499999999995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9">
        <f>SUM(B22:M22)</f>
        <v>795.30499999999995</v>
      </c>
    </row>
    <row r="23" spans="1:14" ht="30" x14ac:dyDescent="0.25">
      <c r="A23" s="30" t="s">
        <v>22</v>
      </c>
      <c r="B23" s="59">
        <f t="shared" ref="B23" si="10">B22*0.1064</f>
        <v>84.620451999999986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87">
        <f>SUM(B23:M23)</f>
        <v>84.620451999999986</v>
      </c>
    </row>
    <row r="24" spans="1:14" ht="30" x14ac:dyDescent="0.25">
      <c r="A24" s="15" t="s">
        <v>30</v>
      </c>
      <c r="B24" s="40">
        <f t="shared" ref="B24" si="11">B12</f>
        <v>783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54">
        <f>SUM(B24:M24)</f>
        <v>783</v>
      </c>
    </row>
    <row r="25" spans="1:14" ht="30" x14ac:dyDescent="0.25">
      <c r="A25" s="91" t="s">
        <v>55</v>
      </c>
      <c r="B25" s="92">
        <f t="shared" ref="B25" si="12">(B22/B24)*100</f>
        <v>101.57151979565772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>
        <f>(N22/N24)*100</f>
        <v>101.57151979565772</v>
      </c>
    </row>
  </sheetData>
  <mergeCells count="2">
    <mergeCell ref="C1:F1"/>
    <mergeCell ref="G1:I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13" workbookViewId="0">
      <selection activeCell="B23" sqref="B23"/>
    </sheetView>
  </sheetViews>
  <sheetFormatPr baseColWidth="10" defaultRowHeight="15" x14ac:dyDescent="0.25"/>
  <cols>
    <col min="1" max="1" width="21.28515625" customWidth="1"/>
    <col min="2" max="2" width="13.28515625" bestFit="1" customWidth="1"/>
    <col min="14" max="14" width="17.85546875" customWidth="1"/>
    <col min="15" max="15" width="15.42578125" customWidth="1"/>
    <col min="16" max="16" width="24.140625" customWidth="1"/>
  </cols>
  <sheetData>
    <row r="1" spans="1:16" x14ac:dyDescent="0.25">
      <c r="C1" s="118" t="s">
        <v>28</v>
      </c>
      <c r="D1" s="119"/>
      <c r="E1" s="119"/>
      <c r="F1" s="120"/>
      <c r="G1" s="121" t="s">
        <v>67</v>
      </c>
      <c r="H1" s="122"/>
      <c r="I1" s="122"/>
    </row>
    <row r="2" spans="1:16" x14ac:dyDescent="0.25">
      <c r="C2" s="12" t="s">
        <v>1</v>
      </c>
      <c r="D2" s="10"/>
      <c r="E2" s="11">
        <v>18.8</v>
      </c>
      <c r="F2" s="13" t="s">
        <v>2</v>
      </c>
      <c r="G2" t="s">
        <v>51</v>
      </c>
    </row>
    <row r="3" spans="1:16" ht="15.75" thickBot="1" x14ac:dyDescent="0.3">
      <c r="C3" s="4" t="s">
        <v>7</v>
      </c>
      <c r="D3" s="5"/>
      <c r="E3" s="5">
        <v>0.1096</v>
      </c>
      <c r="F3" s="6" t="s">
        <v>8</v>
      </c>
    </row>
    <row r="6" spans="1:16" ht="31.5" customHeight="1" x14ac:dyDescent="0.25">
      <c r="A6" s="7"/>
      <c r="B6" s="8" t="s">
        <v>9</v>
      </c>
      <c r="C6" s="8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33</v>
      </c>
      <c r="J6" s="8" t="s">
        <v>17</v>
      </c>
      <c r="K6" s="8" t="s">
        <v>18</v>
      </c>
      <c r="L6" s="8" t="s">
        <v>19</v>
      </c>
      <c r="M6" s="8" t="s">
        <v>34</v>
      </c>
      <c r="N6" s="14" t="s">
        <v>25</v>
      </c>
      <c r="O6" s="18" t="s">
        <v>32</v>
      </c>
      <c r="P6" s="67" t="s">
        <v>40</v>
      </c>
    </row>
    <row r="7" spans="1:16" ht="31.5" customHeight="1" x14ac:dyDescent="0.25">
      <c r="A7" s="15" t="s">
        <v>30</v>
      </c>
      <c r="B7" s="57">
        <v>704</v>
      </c>
      <c r="C7" s="57">
        <v>1009</v>
      </c>
      <c r="D7" s="57">
        <v>1839</v>
      </c>
      <c r="E7" s="57">
        <v>2469</v>
      </c>
      <c r="F7" s="57">
        <v>2719</v>
      </c>
      <c r="G7" s="57">
        <v>3070</v>
      </c>
      <c r="H7" s="57">
        <v>3216</v>
      </c>
      <c r="I7" s="57">
        <v>2730</v>
      </c>
      <c r="J7" s="57">
        <v>2128</v>
      </c>
      <c r="K7" s="29">
        <v>1403</v>
      </c>
      <c r="L7" s="29">
        <v>875</v>
      </c>
      <c r="M7" s="29">
        <v>633</v>
      </c>
      <c r="N7" s="40">
        <f>SUM(B7:M7)</f>
        <v>22795</v>
      </c>
    </row>
    <row r="8" spans="1:16" ht="31.5" customHeight="1" x14ac:dyDescent="0.25">
      <c r="A8" s="15" t="s">
        <v>31</v>
      </c>
      <c r="B8" s="27">
        <f t="shared" ref="B8:F8" si="0">B7*0.1096</f>
        <v>77.1584</v>
      </c>
      <c r="C8" s="27">
        <f t="shared" si="0"/>
        <v>110.5864</v>
      </c>
      <c r="D8" s="27">
        <f t="shared" si="0"/>
        <v>201.55440000000002</v>
      </c>
      <c r="E8" s="27">
        <f t="shared" si="0"/>
        <v>270.60239999999999</v>
      </c>
      <c r="F8" s="27">
        <f t="shared" si="0"/>
        <v>298.00240000000002</v>
      </c>
      <c r="G8" s="27">
        <f>G7*0.1096</f>
        <v>336.47200000000004</v>
      </c>
      <c r="H8" s="27">
        <f>H7*0.1096</f>
        <v>352.47360000000003</v>
      </c>
      <c r="I8" s="27">
        <f>I7*0.1096</f>
        <v>299.20800000000003</v>
      </c>
      <c r="J8" s="27">
        <f>J7*0.1096</f>
        <v>233.22880000000001</v>
      </c>
      <c r="K8" s="27">
        <f t="shared" ref="K8:M8" si="1">K7*0.1096</f>
        <v>153.7688</v>
      </c>
      <c r="L8" s="27">
        <f t="shared" si="1"/>
        <v>95.9</v>
      </c>
      <c r="M8" s="27">
        <f t="shared" si="1"/>
        <v>69.376800000000003</v>
      </c>
      <c r="N8" s="38">
        <f>SUM(G8:M8)</f>
        <v>1540.4280000000003</v>
      </c>
    </row>
    <row r="9" spans="1:16" ht="30" x14ac:dyDescent="0.25">
      <c r="A9" s="35" t="s">
        <v>6</v>
      </c>
      <c r="B9" s="31"/>
      <c r="C9" s="31"/>
      <c r="D9" s="31"/>
      <c r="E9" s="31"/>
      <c r="F9" s="31"/>
      <c r="G9" s="58">
        <v>2200</v>
      </c>
      <c r="H9" s="58">
        <v>3714</v>
      </c>
      <c r="I9" s="58">
        <v>2918</v>
      </c>
      <c r="J9" s="58">
        <v>2347</v>
      </c>
      <c r="K9" s="43">
        <v>1395</v>
      </c>
      <c r="L9" s="43">
        <v>993</v>
      </c>
      <c r="M9" s="43">
        <v>530</v>
      </c>
      <c r="N9" s="49">
        <f>SUM(B9:M9)</f>
        <v>14097</v>
      </c>
      <c r="P9" s="68">
        <f>N9/18.8</f>
        <v>749.84042553191489</v>
      </c>
    </row>
    <row r="10" spans="1:16" x14ac:dyDescent="0.25">
      <c r="A10" s="30" t="s">
        <v>24</v>
      </c>
      <c r="B10" s="32"/>
      <c r="C10" s="32"/>
      <c r="D10" s="32"/>
      <c r="E10" s="32"/>
      <c r="F10" s="32"/>
      <c r="G10" s="33">
        <f>G9*0.1096</f>
        <v>241.12</v>
      </c>
      <c r="H10" s="33">
        <f>H9*0.1096</f>
        <v>407.05439999999999</v>
      </c>
      <c r="I10" s="33">
        <f>I9*0.1096</f>
        <v>319.81279999999998</v>
      </c>
      <c r="J10" s="33">
        <f>J9*0.1096</f>
        <v>257.2312</v>
      </c>
      <c r="K10" s="33">
        <f t="shared" ref="K10:M10" si="2">K9*0.1096</f>
        <v>152.892</v>
      </c>
      <c r="L10" s="33">
        <f t="shared" si="2"/>
        <v>108.83280000000001</v>
      </c>
      <c r="M10" s="33">
        <f t="shared" si="2"/>
        <v>58.088000000000001</v>
      </c>
      <c r="N10" s="59">
        <f>N9*0.1096</f>
        <v>1545.0312000000001</v>
      </c>
      <c r="O10" s="47"/>
    </row>
    <row r="11" spans="1:16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50"/>
    </row>
    <row r="12" spans="1:16" ht="30" x14ac:dyDescent="0.25">
      <c r="A12" s="35" t="s">
        <v>35</v>
      </c>
      <c r="B12" s="88">
        <v>641.20000000000005</v>
      </c>
      <c r="C12" s="88">
        <v>1364.4</v>
      </c>
      <c r="D12" s="88">
        <v>1752</v>
      </c>
      <c r="E12" s="88">
        <v>2770</v>
      </c>
      <c r="F12" s="88">
        <v>3355.7</v>
      </c>
      <c r="G12" s="88">
        <v>3180.5</v>
      </c>
      <c r="H12" s="88">
        <v>2864.3</v>
      </c>
      <c r="I12" s="88">
        <v>2605.5</v>
      </c>
      <c r="J12" s="88">
        <v>2027.2</v>
      </c>
      <c r="K12" s="88">
        <v>1324.5</v>
      </c>
      <c r="L12" s="88">
        <v>669.3</v>
      </c>
      <c r="M12" s="88">
        <v>477.4</v>
      </c>
      <c r="N12" s="89">
        <f>SUM(B12:M12)</f>
        <v>23032</v>
      </c>
      <c r="P12" s="68">
        <f>N12/18.8</f>
        <v>1225.1063829787233</v>
      </c>
    </row>
    <row r="13" spans="1:16" x14ac:dyDescent="0.25">
      <c r="A13" s="30" t="s">
        <v>22</v>
      </c>
      <c r="B13" s="33">
        <f t="shared" ref="B13:M13" si="3">B12*0.1096</f>
        <v>70.27552</v>
      </c>
      <c r="C13" s="33">
        <f t="shared" si="3"/>
        <v>149.53824</v>
      </c>
      <c r="D13" s="33">
        <f t="shared" si="3"/>
        <v>192.01920000000001</v>
      </c>
      <c r="E13" s="33">
        <f t="shared" si="3"/>
        <v>303.59199999999998</v>
      </c>
      <c r="F13" s="59">
        <f t="shared" si="3"/>
        <v>367.78471999999999</v>
      </c>
      <c r="G13" s="59">
        <f t="shared" si="3"/>
        <v>348.58280000000002</v>
      </c>
      <c r="H13" s="59">
        <f t="shared" si="3"/>
        <v>313.92728000000005</v>
      </c>
      <c r="I13" s="59">
        <f t="shared" si="3"/>
        <v>285.56279999999998</v>
      </c>
      <c r="J13" s="59">
        <f t="shared" si="3"/>
        <v>222.18112000000002</v>
      </c>
      <c r="K13" s="59">
        <f t="shared" si="3"/>
        <v>145.1652</v>
      </c>
      <c r="L13" s="59">
        <f t="shared" si="3"/>
        <v>73.355279999999993</v>
      </c>
      <c r="M13" s="59">
        <f t="shared" si="3"/>
        <v>52.323039999999999</v>
      </c>
      <c r="N13" s="87">
        <f>SUM(B13:M13)</f>
        <v>2524.3072000000002</v>
      </c>
    </row>
    <row r="14" spans="1:16" ht="30" x14ac:dyDescent="0.25">
      <c r="A14" s="15" t="s">
        <v>30</v>
      </c>
      <c r="B14" s="57">
        <v>704</v>
      </c>
      <c r="C14" s="57">
        <v>1009</v>
      </c>
      <c r="D14" s="57">
        <v>1839</v>
      </c>
      <c r="E14" s="57">
        <v>2469</v>
      </c>
      <c r="F14" s="57">
        <v>2719</v>
      </c>
      <c r="G14" s="57">
        <v>3070</v>
      </c>
      <c r="H14" s="57">
        <v>3216</v>
      </c>
      <c r="I14" s="57">
        <v>2730</v>
      </c>
      <c r="J14" s="57">
        <v>2128</v>
      </c>
      <c r="K14" s="29">
        <v>1403</v>
      </c>
      <c r="L14" s="29">
        <v>875</v>
      </c>
      <c r="M14" s="29">
        <v>633</v>
      </c>
      <c r="N14" s="40">
        <f>SUM(B14:M14)</f>
        <v>22795</v>
      </c>
    </row>
    <row r="15" spans="1:16" ht="32.25" customHeight="1" x14ac:dyDescent="0.25">
      <c r="A15" s="91" t="s">
        <v>55</v>
      </c>
      <c r="B15" s="92">
        <f>(B12/B7)*100</f>
        <v>91.079545454545467</v>
      </c>
      <c r="C15" s="92">
        <f t="shared" ref="C15:N15" si="4">(C12/C7)*100</f>
        <v>135.22299306243806</v>
      </c>
      <c r="D15" s="92">
        <f t="shared" si="4"/>
        <v>95.269168026101141</v>
      </c>
      <c r="E15" s="92">
        <f t="shared" si="4"/>
        <v>112.19117051437829</v>
      </c>
      <c r="F15" s="92">
        <f t="shared" si="4"/>
        <v>123.41669731518941</v>
      </c>
      <c r="G15" s="92">
        <f t="shared" si="4"/>
        <v>103.59934853420197</v>
      </c>
      <c r="H15" s="92">
        <f t="shared" si="4"/>
        <v>89.06405472636817</v>
      </c>
      <c r="I15" s="92">
        <f t="shared" si="4"/>
        <v>95.439560439560438</v>
      </c>
      <c r="J15" s="92">
        <f t="shared" si="4"/>
        <v>95.26315789473685</v>
      </c>
      <c r="K15" s="92">
        <f t="shared" si="4"/>
        <v>94.404846756949397</v>
      </c>
      <c r="L15" s="92">
        <f t="shared" si="4"/>
        <v>76.491428571428571</v>
      </c>
      <c r="M15" s="92">
        <f t="shared" si="4"/>
        <v>75.418641390205366</v>
      </c>
      <c r="N15" s="92">
        <f t="shared" si="4"/>
        <v>101.03970168896687</v>
      </c>
    </row>
    <row r="16" spans="1:16" x14ac:dyDescent="0.25">
      <c r="A16" s="3"/>
    </row>
    <row r="17" spans="1:14" ht="30" x14ac:dyDescent="0.25">
      <c r="A17" s="35" t="s">
        <v>69</v>
      </c>
      <c r="B17" s="88">
        <v>585.70000000000005</v>
      </c>
      <c r="C17" s="88">
        <v>772.7</v>
      </c>
      <c r="D17" s="88">
        <v>1604.2</v>
      </c>
      <c r="E17" s="88">
        <v>2441.6999999999998</v>
      </c>
      <c r="F17" s="88">
        <v>2664</v>
      </c>
      <c r="G17" s="88">
        <v>2964.2</v>
      </c>
      <c r="H17" s="88">
        <v>3079.4</v>
      </c>
      <c r="I17" s="88">
        <v>2693.3</v>
      </c>
      <c r="J17" s="88">
        <v>1766.3</v>
      </c>
      <c r="K17" s="88">
        <v>1081.4000000000001</v>
      </c>
      <c r="L17" s="88">
        <v>759.1</v>
      </c>
      <c r="M17" s="88">
        <v>520.71</v>
      </c>
      <c r="N17" s="89">
        <f>SUM(B17:M17)</f>
        <v>20932.71</v>
      </c>
    </row>
    <row r="18" spans="1:14" x14ac:dyDescent="0.25">
      <c r="A18" s="30" t="s">
        <v>22</v>
      </c>
      <c r="B18" s="33">
        <f t="shared" ref="B18:I18" si="5">B17*0.1096</f>
        <v>64.192720000000008</v>
      </c>
      <c r="C18" s="33">
        <f t="shared" si="5"/>
        <v>84.687920000000005</v>
      </c>
      <c r="D18" s="33">
        <f t="shared" si="5"/>
        <v>175.82032000000001</v>
      </c>
      <c r="E18" s="33">
        <f t="shared" si="5"/>
        <v>267.61032</v>
      </c>
      <c r="F18" s="33">
        <f t="shared" si="5"/>
        <v>291.9744</v>
      </c>
      <c r="G18" s="33">
        <f t="shared" si="5"/>
        <v>324.87631999999996</v>
      </c>
      <c r="H18" s="33">
        <f t="shared" si="5"/>
        <v>337.50224000000003</v>
      </c>
      <c r="I18" s="33">
        <f t="shared" si="5"/>
        <v>295.18568000000005</v>
      </c>
      <c r="J18" s="33">
        <f t="shared" ref="J18:L18" si="6">J17*0.1096</f>
        <v>193.58647999999999</v>
      </c>
      <c r="K18" s="33">
        <f t="shared" si="6"/>
        <v>118.52144000000001</v>
      </c>
      <c r="L18" s="33">
        <f t="shared" si="6"/>
        <v>83.197360000000003</v>
      </c>
      <c r="M18" s="33">
        <f t="shared" ref="M18" si="7">M17*0.1096</f>
        <v>57.069816000000003</v>
      </c>
      <c r="N18" s="102">
        <f t="shared" ref="N18:N19" si="8">SUM(B18:M18)</f>
        <v>2294.2250160000003</v>
      </c>
    </row>
    <row r="19" spans="1:14" ht="30" x14ac:dyDescent="0.25">
      <c r="A19" s="15" t="s">
        <v>30</v>
      </c>
      <c r="B19" s="57">
        <f t="shared" ref="B19:I19" si="9">B7</f>
        <v>704</v>
      </c>
      <c r="C19" s="57">
        <f t="shared" si="9"/>
        <v>1009</v>
      </c>
      <c r="D19" s="57">
        <f t="shared" si="9"/>
        <v>1839</v>
      </c>
      <c r="E19" s="57">
        <f t="shared" si="9"/>
        <v>2469</v>
      </c>
      <c r="F19" s="57">
        <f t="shared" si="9"/>
        <v>2719</v>
      </c>
      <c r="G19" s="57">
        <f t="shared" si="9"/>
        <v>3070</v>
      </c>
      <c r="H19" s="57">
        <f t="shared" si="9"/>
        <v>3216</v>
      </c>
      <c r="I19" s="57">
        <f t="shared" si="9"/>
        <v>2730</v>
      </c>
      <c r="J19" s="57">
        <f t="shared" ref="J19:L19" si="10">J7</f>
        <v>2128</v>
      </c>
      <c r="K19" s="57">
        <f t="shared" si="10"/>
        <v>1403</v>
      </c>
      <c r="L19" s="57">
        <f t="shared" si="10"/>
        <v>875</v>
      </c>
      <c r="M19" s="57">
        <f t="shared" ref="M19" si="11">M7</f>
        <v>633</v>
      </c>
      <c r="N19" s="101">
        <f t="shared" si="8"/>
        <v>22795</v>
      </c>
    </row>
    <row r="20" spans="1:14" ht="30" x14ac:dyDescent="0.25">
      <c r="A20" s="91" t="s">
        <v>55</v>
      </c>
      <c r="B20" s="92">
        <f t="shared" ref="B20:I20" si="12">(B17/B19)*100</f>
        <v>83.196022727272734</v>
      </c>
      <c r="C20" s="92">
        <f t="shared" si="12"/>
        <v>76.580773042616457</v>
      </c>
      <c r="D20" s="92">
        <f t="shared" si="12"/>
        <v>87.232191408374121</v>
      </c>
      <c r="E20" s="92">
        <f t="shared" si="12"/>
        <v>98.894289185905222</v>
      </c>
      <c r="F20" s="92">
        <f t="shared" si="12"/>
        <v>97.977197499080546</v>
      </c>
      <c r="G20" s="92">
        <f t="shared" si="12"/>
        <v>96.553745928338756</v>
      </c>
      <c r="H20" s="92">
        <f t="shared" si="12"/>
        <v>95.75248756218906</v>
      </c>
      <c r="I20" s="92">
        <f t="shared" si="12"/>
        <v>98.655677655677664</v>
      </c>
      <c r="J20" s="92">
        <f t="shared" ref="J20:L20" si="13">(J17/J19)*100</f>
        <v>83.002819548872182</v>
      </c>
      <c r="K20" s="92">
        <f t="shared" si="13"/>
        <v>77.077690662865294</v>
      </c>
      <c r="L20" s="92">
        <f t="shared" si="13"/>
        <v>86.754285714285714</v>
      </c>
      <c r="M20" s="92">
        <f t="shared" ref="M20" si="14">(M17/M19)*100</f>
        <v>82.260663507109015</v>
      </c>
      <c r="N20" s="92">
        <f>(N17/N19)*100</f>
        <v>91.830269796007897</v>
      </c>
    </row>
    <row r="21" spans="1:14" x14ac:dyDescent="0.25">
      <c r="A21" s="3"/>
    </row>
    <row r="22" spans="1:14" ht="30" x14ac:dyDescent="0.25">
      <c r="A22" s="35" t="s">
        <v>84</v>
      </c>
      <c r="B22" s="88">
        <v>546.03700000000003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9">
        <f>SUM(B22:M22)</f>
        <v>546.03700000000003</v>
      </c>
    </row>
    <row r="23" spans="1:14" x14ac:dyDescent="0.25">
      <c r="A23" s="30" t="s">
        <v>22</v>
      </c>
      <c r="B23" s="33">
        <f t="shared" ref="B23" si="15">B22*0.1096</f>
        <v>59.845655200000003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102">
        <f t="shared" ref="N23:N24" si="16">SUM(B23:M23)</f>
        <v>59.845655200000003</v>
      </c>
    </row>
    <row r="24" spans="1:14" ht="30" x14ac:dyDescent="0.25">
      <c r="A24" s="15" t="s">
        <v>30</v>
      </c>
      <c r="B24" s="57">
        <f t="shared" ref="B24" si="17">B12</f>
        <v>641.20000000000005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101">
        <f t="shared" si="16"/>
        <v>641.20000000000005</v>
      </c>
    </row>
    <row r="25" spans="1:14" ht="30" x14ac:dyDescent="0.25">
      <c r="A25" s="91" t="s">
        <v>55</v>
      </c>
      <c r="B25" s="92">
        <f t="shared" ref="B25" si="18">(B22/B24)*100</f>
        <v>85.158608858390522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>
        <f>(N22/N24)*100</f>
        <v>85.158608858390522</v>
      </c>
    </row>
  </sheetData>
  <mergeCells count="2">
    <mergeCell ref="C1:F1"/>
    <mergeCell ref="G1:I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"/>
  <sheetViews>
    <sheetView topLeftCell="A7" workbookViewId="0">
      <selection activeCell="B28" sqref="B28"/>
    </sheetView>
  </sheetViews>
  <sheetFormatPr baseColWidth="10" defaultRowHeight="15" x14ac:dyDescent="0.25"/>
  <cols>
    <col min="1" max="1" width="19.85546875" customWidth="1"/>
    <col min="2" max="2" width="14.28515625" customWidth="1"/>
    <col min="3" max="3" width="13.28515625" bestFit="1" customWidth="1"/>
    <col min="6" max="6" width="12.5703125" bestFit="1" customWidth="1"/>
    <col min="15" max="15" width="17.85546875" customWidth="1"/>
  </cols>
  <sheetData>
    <row r="1" spans="1:14" x14ac:dyDescent="0.25">
      <c r="D1" s="118" t="s">
        <v>29</v>
      </c>
      <c r="E1" s="119"/>
      <c r="F1" s="119"/>
      <c r="G1" s="120"/>
      <c r="H1" s="121" t="s">
        <v>50</v>
      </c>
      <c r="I1" s="122"/>
      <c r="J1" s="122"/>
    </row>
    <row r="2" spans="1:14" x14ac:dyDescent="0.25">
      <c r="D2" s="12" t="s">
        <v>1</v>
      </c>
      <c r="E2" s="10"/>
      <c r="F2" s="11">
        <v>24.6</v>
      </c>
      <c r="G2" s="13" t="s">
        <v>2</v>
      </c>
    </row>
    <row r="3" spans="1:14" ht="15.75" thickBot="1" x14ac:dyDescent="0.3">
      <c r="D3" s="4" t="s">
        <v>7</v>
      </c>
      <c r="E3" s="5"/>
      <c r="F3" s="5">
        <v>0.1135</v>
      </c>
      <c r="G3" s="6" t="s">
        <v>8</v>
      </c>
    </row>
    <row r="6" spans="1:14" ht="31.5" customHeight="1" x14ac:dyDescent="0.25">
      <c r="A6" s="7" t="s">
        <v>0</v>
      </c>
      <c r="B6" s="8" t="s">
        <v>9</v>
      </c>
      <c r="C6" s="8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33</v>
      </c>
      <c r="J6" s="8" t="s">
        <v>17</v>
      </c>
      <c r="K6" s="8" t="s">
        <v>18</v>
      </c>
      <c r="L6" s="8" t="s">
        <v>19</v>
      </c>
      <c r="M6" s="8" t="s">
        <v>34</v>
      </c>
      <c r="N6" s="14" t="s">
        <v>25</v>
      </c>
    </row>
    <row r="7" spans="1:14" ht="31.5" customHeight="1" x14ac:dyDescent="0.25">
      <c r="A7" s="15" t="s">
        <v>30</v>
      </c>
      <c r="B7" s="29">
        <v>792</v>
      </c>
      <c r="C7" s="29">
        <v>1146</v>
      </c>
      <c r="D7" s="29">
        <v>2215</v>
      </c>
      <c r="E7" s="29">
        <v>3199</v>
      </c>
      <c r="F7" s="29">
        <v>3619</v>
      </c>
      <c r="G7" s="29">
        <v>4133</v>
      </c>
      <c r="H7" s="29">
        <v>4313</v>
      </c>
      <c r="I7" s="29">
        <v>3568</v>
      </c>
      <c r="J7" s="29">
        <v>2704</v>
      </c>
      <c r="K7" s="29">
        <v>1734</v>
      </c>
      <c r="L7" s="29">
        <v>1039</v>
      </c>
      <c r="M7" s="29">
        <v>713</v>
      </c>
      <c r="N7" s="93">
        <v>29175</v>
      </c>
    </row>
    <row r="8" spans="1:14" ht="31.5" customHeight="1" x14ac:dyDescent="0.25">
      <c r="A8" s="15" t="s">
        <v>31</v>
      </c>
      <c r="B8" s="29">
        <f>B7*0.1135</f>
        <v>89.891999999999996</v>
      </c>
      <c r="C8" s="29">
        <f t="shared" ref="C8:N8" si="0">C7*0.1135</f>
        <v>130.071</v>
      </c>
      <c r="D8" s="29">
        <f t="shared" si="0"/>
        <v>251.4025</v>
      </c>
      <c r="E8" s="29">
        <f t="shared" si="0"/>
        <v>363.0865</v>
      </c>
      <c r="F8" s="29">
        <f t="shared" si="0"/>
        <v>410.75650000000002</v>
      </c>
      <c r="G8" s="29">
        <f t="shared" si="0"/>
        <v>469.09550000000002</v>
      </c>
      <c r="H8" s="29">
        <f t="shared" si="0"/>
        <v>489.52550000000002</v>
      </c>
      <c r="I8" s="29">
        <f t="shared" si="0"/>
        <v>404.96800000000002</v>
      </c>
      <c r="J8" s="29">
        <f t="shared" si="0"/>
        <v>306.904</v>
      </c>
      <c r="K8" s="29">
        <f t="shared" si="0"/>
        <v>196.809</v>
      </c>
      <c r="L8" s="29">
        <f t="shared" si="0"/>
        <v>117.9265</v>
      </c>
      <c r="M8" s="29">
        <f t="shared" si="0"/>
        <v>80.9255</v>
      </c>
      <c r="N8" s="93">
        <f t="shared" si="0"/>
        <v>3311.3625000000002</v>
      </c>
    </row>
    <row r="11" spans="1:14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30" x14ac:dyDescent="0.25">
      <c r="A12" s="35" t="s">
        <v>35</v>
      </c>
      <c r="B12" s="86"/>
      <c r="C12" s="86"/>
      <c r="D12" s="86"/>
      <c r="E12" s="88"/>
      <c r="F12" s="88">
        <v>3269</v>
      </c>
      <c r="G12" s="88">
        <v>3977</v>
      </c>
      <c r="H12" s="88">
        <v>4114</v>
      </c>
      <c r="I12" s="88">
        <v>3535</v>
      </c>
      <c r="J12" s="88">
        <v>2661</v>
      </c>
      <c r="K12" s="88">
        <v>1684</v>
      </c>
      <c r="L12" s="88">
        <v>729</v>
      </c>
      <c r="M12" s="88">
        <v>713</v>
      </c>
      <c r="N12" s="89">
        <f>SUM(B12:M12)</f>
        <v>20682</v>
      </c>
    </row>
    <row r="13" spans="1:14" x14ac:dyDescent="0.25">
      <c r="A13" s="30" t="s">
        <v>22</v>
      </c>
      <c r="B13" s="59"/>
      <c r="C13" s="59"/>
      <c r="D13" s="59"/>
      <c r="E13" s="59"/>
      <c r="F13" s="59">
        <f t="shared" ref="F13:M13" si="1">F12*0.1135</f>
        <v>371.03149999999999</v>
      </c>
      <c r="G13" s="59">
        <f t="shared" si="1"/>
        <v>451.3895</v>
      </c>
      <c r="H13" s="59">
        <f t="shared" si="1"/>
        <v>466.93900000000002</v>
      </c>
      <c r="I13" s="59">
        <f t="shared" si="1"/>
        <v>401.22250000000003</v>
      </c>
      <c r="J13" s="59">
        <f t="shared" si="1"/>
        <v>302.02350000000001</v>
      </c>
      <c r="K13" s="59">
        <f t="shared" si="1"/>
        <v>191.13400000000001</v>
      </c>
      <c r="L13" s="59">
        <f t="shared" si="1"/>
        <v>82.741500000000002</v>
      </c>
      <c r="M13" s="59">
        <f t="shared" si="1"/>
        <v>80.9255</v>
      </c>
      <c r="N13" s="85">
        <f>SUM(B13:M13)</f>
        <v>2347.4070000000002</v>
      </c>
    </row>
    <row r="14" spans="1:14" ht="30" x14ac:dyDescent="0.25">
      <c r="A14" s="15" t="s">
        <v>30</v>
      </c>
      <c r="B14" s="29">
        <v>792</v>
      </c>
      <c r="C14" s="29">
        <v>1146</v>
      </c>
      <c r="D14" s="29">
        <v>2215</v>
      </c>
      <c r="E14" s="29">
        <v>3199</v>
      </c>
      <c r="F14" s="29">
        <v>3619</v>
      </c>
      <c r="G14" s="29">
        <v>4133</v>
      </c>
      <c r="H14" s="29">
        <v>4313</v>
      </c>
      <c r="I14" s="29">
        <v>3568</v>
      </c>
      <c r="J14" s="29">
        <v>2704</v>
      </c>
      <c r="K14" s="29">
        <v>1734</v>
      </c>
      <c r="L14" s="29">
        <v>1039</v>
      </c>
      <c r="M14" s="29">
        <v>713</v>
      </c>
      <c r="N14" s="93">
        <v>29175</v>
      </c>
    </row>
    <row r="15" spans="1:14" ht="36" customHeight="1" x14ac:dyDescent="0.25">
      <c r="A15" s="91" t="s">
        <v>55</v>
      </c>
      <c r="B15" s="8"/>
      <c r="C15" s="8"/>
      <c r="D15" s="8"/>
      <c r="E15" s="8"/>
      <c r="F15" s="92">
        <f>(F12/F7)*100</f>
        <v>90.32882011605416</v>
      </c>
      <c r="G15" s="92">
        <f t="shared" ref="G15:M15" si="2">(G12/G7)*100</f>
        <v>96.225502056617472</v>
      </c>
      <c r="H15" s="92">
        <f t="shared" si="2"/>
        <v>95.386042198006024</v>
      </c>
      <c r="I15" s="92">
        <f t="shared" si="2"/>
        <v>99.075112107623326</v>
      </c>
      <c r="J15" s="92">
        <f t="shared" si="2"/>
        <v>98.40976331360946</v>
      </c>
      <c r="K15" s="92">
        <f t="shared" si="2"/>
        <v>97.116493656286039</v>
      </c>
      <c r="L15" s="92">
        <f t="shared" si="2"/>
        <v>70.163618864292587</v>
      </c>
      <c r="M15" s="92">
        <f t="shared" si="2"/>
        <v>100</v>
      </c>
      <c r="N15" s="8"/>
    </row>
    <row r="16" spans="1:14" x14ac:dyDescent="0.25">
      <c r="A16" s="3"/>
    </row>
    <row r="17" spans="1:14" ht="30" x14ac:dyDescent="0.25">
      <c r="A17" s="35" t="s">
        <v>69</v>
      </c>
      <c r="B17" s="86">
        <v>792</v>
      </c>
      <c r="C17" s="86">
        <v>1146</v>
      </c>
      <c r="D17" s="86">
        <v>2215</v>
      </c>
      <c r="E17" s="88">
        <v>3199</v>
      </c>
      <c r="F17" s="88">
        <v>3277</v>
      </c>
      <c r="G17" s="88">
        <v>4199</v>
      </c>
      <c r="H17" s="88">
        <v>4055</v>
      </c>
      <c r="I17" s="88">
        <v>3286</v>
      </c>
      <c r="J17" s="88">
        <v>1735</v>
      </c>
      <c r="K17" s="88">
        <v>1242</v>
      </c>
      <c r="L17" s="88">
        <v>897</v>
      </c>
      <c r="M17" s="88">
        <v>548</v>
      </c>
      <c r="N17" s="89">
        <f>SUM(B17:M17)</f>
        <v>26591</v>
      </c>
    </row>
    <row r="18" spans="1:14" x14ac:dyDescent="0.25">
      <c r="A18" s="30" t="s">
        <v>22</v>
      </c>
      <c r="B18" s="59">
        <f>B17*0.1135</f>
        <v>89.891999999999996</v>
      </c>
      <c r="C18" s="59">
        <f t="shared" ref="C18:D18" si="3">C17*0.1135</f>
        <v>130.071</v>
      </c>
      <c r="D18" s="59">
        <f t="shared" si="3"/>
        <v>251.4025</v>
      </c>
      <c r="E18" s="59">
        <f t="shared" ref="E18:M18" si="4">E17*0.1135</f>
        <v>363.0865</v>
      </c>
      <c r="F18" s="59">
        <f t="shared" si="4"/>
        <v>371.93950000000001</v>
      </c>
      <c r="G18" s="59">
        <f t="shared" si="4"/>
        <v>476.5865</v>
      </c>
      <c r="H18" s="59">
        <f t="shared" si="4"/>
        <v>460.24250000000001</v>
      </c>
      <c r="I18" s="59">
        <f t="shared" si="4"/>
        <v>372.96100000000001</v>
      </c>
      <c r="J18" s="59">
        <f t="shared" si="4"/>
        <v>196.92250000000001</v>
      </c>
      <c r="K18" s="59">
        <f t="shared" si="4"/>
        <v>140.96700000000001</v>
      </c>
      <c r="L18" s="59">
        <f t="shared" si="4"/>
        <v>101.8095</v>
      </c>
      <c r="M18" s="59">
        <f t="shared" si="4"/>
        <v>62.198</v>
      </c>
      <c r="N18" s="89">
        <f>SUM(B18:M18)</f>
        <v>3018.0784999999996</v>
      </c>
    </row>
    <row r="19" spans="1:14" ht="30" x14ac:dyDescent="0.25">
      <c r="A19" s="15" t="s">
        <v>30</v>
      </c>
      <c r="B19" s="29">
        <f t="shared" ref="B19:I19" si="5">B14</f>
        <v>792</v>
      </c>
      <c r="C19" s="29">
        <f t="shared" si="5"/>
        <v>1146</v>
      </c>
      <c r="D19" s="29">
        <f t="shared" si="5"/>
        <v>2215</v>
      </c>
      <c r="E19" s="29">
        <f t="shared" si="5"/>
        <v>3199</v>
      </c>
      <c r="F19" s="29">
        <f t="shared" si="5"/>
        <v>3619</v>
      </c>
      <c r="G19" s="29">
        <f t="shared" si="5"/>
        <v>4133</v>
      </c>
      <c r="H19" s="29">
        <f t="shared" si="5"/>
        <v>4313</v>
      </c>
      <c r="I19" s="29">
        <f t="shared" si="5"/>
        <v>3568</v>
      </c>
      <c r="J19" s="29">
        <f t="shared" ref="J19" si="6">J14</f>
        <v>2704</v>
      </c>
      <c r="K19" s="29">
        <v>1734</v>
      </c>
      <c r="L19" s="29">
        <v>1039</v>
      </c>
      <c r="M19" s="29">
        <v>713</v>
      </c>
      <c r="N19" s="89">
        <f>SUM(B19:M19)</f>
        <v>29175</v>
      </c>
    </row>
    <row r="20" spans="1:14" ht="30" x14ac:dyDescent="0.25">
      <c r="A20" s="91" t="s">
        <v>55</v>
      </c>
      <c r="B20" s="8">
        <f>(B17/B19)*100</f>
        <v>100</v>
      </c>
      <c r="C20" s="8">
        <f t="shared" ref="C20:E20" si="7">(C17/C19)*100</f>
        <v>100</v>
      </c>
      <c r="D20" s="8">
        <f t="shared" si="7"/>
        <v>100</v>
      </c>
      <c r="E20" s="8">
        <f t="shared" si="7"/>
        <v>100</v>
      </c>
      <c r="F20" s="92">
        <f t="shared" ref="F20:N20" si="8">(F17/F19)*100</f>
        <v>90.549875656258635</v>
      </c>
      <c r="G20" s="92">
        <f t="shared" si="8"/>
        <v>101.59690297604647</v>
      </c>
      <c r="H20" s="92">
        <f t="shared" si="8"/>
        <v>94.018084859726414</v>
      </c>
      <c r="I20" s="92">
        <f t="shared" si="8"/>
        <v>92.096412556053806</v>
      </c>
      <c r="J20" s="92">
        <f t="shared" si="8"/>
        <v>64.164201183431956</v>
      </c>
      <c r="K20" s="92">
        <f t="shared" si="8"/>
        <v>71.626297577854672</v>
      </c>
      <c r="L20" s="92">
        <f t="shared" si="8"/>
        <v>86.333012512030791</v>
      </c>
      <c r="M20" s="92">
        <f t="shared" si="8"/>
        <v>76.858345021037863</v>
      </c>
      <c r="N20" s="92">
        <f t="shared" si="8"/>
        <v>91.143101970865473</v>
      </c>
    </row>
    <row r="21" spans="1:14" x14ac:dyDescent="0.25">
      <c r="A21" s="3"/>
    </row>
    <row r="22" spans="1:14" ht="30" x14ac:dyDescent="0.25">
      <c r="A22" s="35" t="s">
        <v>84</v>
      </c>
      <c r="B22" s="86">
        <v>466</v>
      </c>
      <c r="C22" s="86"/>
      <c r="D22" s="86"/>
      <c r="E22" s="88"/>
      <c r="F22" s="88"/>
      <c r="G22" s="88"/>
      <c r="H22" s="88"/>
      <c r="I22" s="88"/>
      <c r="J22" s="88"/>
      <c r="K22" s="88"/>
      <c r="L22" s="88"/>
      <c r="M22" s="88"/>
      <c r="N22" s="89">
        <f>SUM(B22:M22)</f>
        <v>466</v>
      </c>
    </row>
    <row r="23" spans="1:14" x14ac:dyDescent="0.25">
      <c r="A23" s="30" t="s">
        <v>22</v>
      </c>
      <c r="B23" s="59">
        <f>B22*0.1135</f>
        <v>52.890999999999998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89">
        <f>SUM(B23:M23)</f>
        <v>52.890999999999998</v>
      </c>
    </row>
    <row r="24" spans="1:14" ht="30" x14ac:dyDescent="0.25">
      <c r="A24" s="15" t="s">
        <v>30</v>
      </c>
      <c r="B24" s="29">
        <f t="shared" ref="B24" si="9">B19</f>
        <v>792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89">
        <f>SUM(B24:M24)</f>
        <v>792</v>
      </c>
    </row>
    <row r="25" spans="1:14" ht="30" x14ac:dyDescent="0.25">
      <c r="A25" s="91" t="s">
        <v>55</v>
      </c>
      <c r="B25" s="92">
        <f>(B22/B24)*100</f>
        <v>58.838383838383834</v>
      </c>
      <c r="C25" s="8"/>
      <c r="D25" s="8"/>
      <c r="E25" s="8"/>
      <c r="F25" s="92"/>
      <c r="G25" s="92"/>
      <c r="H25" s="92"/>
      <c r="I25" s="92"/>
      <c r="J25" s="92"/>
      <c r="K25" s="92"/>
      <c r="L25" s="92"/>
      <c r="M25" s="92"/>
      <c r="N25" s="92">
        <f t="shared" ref="N25" si="10">(N22/N24)*100</f>
        <v>58.838383838383834</v>
      </c>
    </row>
  </sheetData>
  <mergeCells count="2">
    <mergeCell ref="D1:G1"/>
    <mergeCell ref="H1:J1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S30"/>
  <sheetViews>
    <sheetView topLeftCell="A13" workbookViewId="0">
      <selection activeCell="B29" sqref="B29"/>
    </sheetView>
  </sheetViews>
  <sheetFormatPr baseColWidth="10" defaultRowHeight="15" x14ac:dyDescent="0.25"/>
  <cols>
    <col min="1" max="1" width="17" customWidth="1"/>
    <col min="2" max="6" width="12" bestFit="1" customWidth="1"/>
    <col min="7" max="7" width="13" customWidth="1"/>
    <col min="8" max="8" width="12.140625" customWidth="1"/>
    <col min="9" max="14" width="11.85546875" bestFit="1" customWidth="1"/>
    <col min="15" max="15" width="15.28515625" customWidth="1"/>
    <col min="16" max="16" width="11.85546875" bestFit="1" customWidth="1"/>
    <col min="17" max="18" width="12.85546875" customWidth="1"/>
    <col min="19" max="19" width="21.42578125" customWidth="1"/>
  </cols>
  <sheetData>
    <row r="1" spans="1:19" ht="30" x14ac:dyDescent="0.25">
      <c r="A1" t="s">
        <v>41</v>
      </c>
      <c r="B1" t="s">
        <v>42</v>
      </c>
      <c r="C1" t="s">
        <v>43</v>
      </c>
      <c r="D1" t="s">
        <v>44</v>
      </c>
      <c r="E1" t="s">
        <v>45</v>
      </c>
      <c r="F1" t="s">
        <v>48</v>
      </c>
      <c r="G1" s="111" t="s">
        <v>81</v>
      </c>
      <c r="H1" t="s">
        <v>82</v>
      </c>
    </row>
    <row r="2" spans="1:19" x14ac:dyDescent="0.25">
      <c r="A2" t="s">
        <v>47</v>
      </c>
      <c r="B2" s="1">
        <v>8.9600000000000009</v>
      </c>
      <c r="C2" s="1">
        <v>8.84</v>
      </c>
      <c r="D2" s="1">
        <v>22.44</v>
      </c>
      <c r="E2" s="1">
        <v>18.8</v>
      </c>
      <c r="F2" s="1">
        <f>SUM(B2:E2)</f>
        <v>59.040000000000006</v>
      </c>
      <c r="G2" s="1">
        <v>24.6</v>
      </c>
      <c r="H2" s="1">
        <f>F2+G2</f>
        <v>83.640000000000015</v>
      </c>
      <c r="I2" s="1"/>
      <c r="J2" s="1"/>
      <c r="K2" s="1"/>
    </row>
    <row r="3" spans="1:19" x14ac:dyDescent="0.25">
      <c r="A3" t="s">
        <v>46</v>
      </c>
      <c r="B3" s="1">
        <v>15103.22</v>
      </c>
      <c r="C3" s="1">
        <v>15029</v>
      </c>
      <c r="D3" s="1">
        <v>19108</v>
      </c>
      <c r="F3" s="1">
        <f>SUM(B3:E3)</f>
        <v>49240.22</v>
      </c>
      <c r="G3" s="1"/>
      <c r="H3" s="1"/>
      <c r="I3" s="1"/>
      <c r="J3" s="1"/>
      <c r="K3" s="1"/>
    </row>
    <row r="4" spans="1:19" ht="45.75" customHeight="1" x14ac:dyDescent="0.25">
      <c r="E4" s="1"/>
      <c r="N4" s="124" t="s">
        <v>37</v>
      </c>
      <c r="O4" s="124"/>
      <c r="P4" s="124" t="s">
        <v>38</v>
      </c>
      <c r="Q4" s="124"/>
      <c r="R4" s="18" t="s">
        <v>32</v>
      </c>
      <c r="S4" s="67" t="s">
        <v>83</v>
      </c>
    </row>
    <row r="5" spans="1:19" ht="45.75" thickBot="1" x14ac:dyDescent="0.3">
      <c r="A5" s="8" t="s">
        <v>26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  <c r="I5" s="8" t="s">
        <v>16</v>
      </c>
      <c r="J5" s="8" t="s">
        <v>17</v>
      </c>
      <c r="K5" s="8" t="s">
        <v>18</v>
      </c>
      <c r="L5" s="8" t="s">
        <v>19</v>
      </c>
      <c r="M5" s="8" t="s">
        <v>20</v>
      </c>
      <c r="N5" s="14" t="s">
        <v>21</v>
      </c>
      <c r="O5" s="14" t="s">
        <v>23</v>
      </c>
      <c r="P5" s="14" t="s">
        <v>21</v>
      </c>
      <c r="Q5" s="14" t="s">
        <v>23</v>
      </c>
      <c r="R5" s="72"/>
    </row>
    <row r="6" spans="1:19" ht="15.75" thickBot="1" x14ac:dyDescent="0.3">
      <c r="A6" s="125" t="s">
        <v>57</v>
      </c>
      <c r="B6" s="22">
        <f>'SCI-SFPO'!B7+'Dolus '!B7+'La Josière'!B7</f>
        <v>1534</v>
      </c>
      <c r="C6" s="22">
        <f>'SCI-SFPO'!C7+'Dolus '!C7+'La Josière'!C7</f>
        <v>2144</v>
      </c>
      <c r="D6" s="22">
        <f>'SCI-SFPO'!D7+'Dolus '!D7+'La Josière'!D7</f>
        <v>3962</v>
      </c>
      <c r="E6" s="22">
        <f>'SCI-SFPO'!E7+'Dolus '!E7+'La Josière'!E7</f>
        <v>5438</v>
      </c>
      <c r="F6" s="22">
        <f>'SCI-SFPO'!F7+'Dolus '!F7+'La Josière'!F7</f>
        <v>5954</v>
      </c>
      <c r="G6" s="22">
        <f>'SCI-SFPO'!G7+'Dolus '!G7+'La Josière'!G7</f>
        <v>6721</v>
      </c>
      <c r="H6" s="22">
        <f>'SCI-SFPO'!H7+'Dolus '!H7+'La Josière'!H7</f>
        <v>7062</v>
      </c>
      <c r="I6" s="22">
        <f>'SCI-SFPO'!I7+'Dolus '!I7+'La Josière'!I7</f>
        <v>6014</v>
      </c>
      <c r="J6" s="22">
        <f>'SCI-SFPO'!J7+'Dolus '!J7+'La Josière'!J7</f>
        <v>4788</v>
      </c>
      <c r="K6" s="22">
        <f>'SCI-SFPO'!K7+'Dolus '!K7+'La Josière'!K7</f>
        <v>3256</v>
      </c>
      <c r="L6" s="22">
        <f>'SCI-SFPO'!L7+'Dolus '!L7+'La Josière'!L7</f>
        <v>2016</v>
      </c>
      <c r="M6" s="22">
        <f>'SCI-SFPO'!M7+'Dolus '!M7+'La Josière'!M7</f>
        <v>1444</v>
      </c>
      <c r="N6" s="55">
        <f>SUM(B6:M6)</f>
        <v>50333</v>
      </c>
      <c r="O6" s="20"/>
      <c r="P6" s="56">
        <f>N6+'Massé '!N7</f>
        <v>73128</v>
      </c>
      <c r="Q6" s="45"/>
      <c r="R6" s="79"/>
      <c r="S6" s="80">
        <f>N8/40.24</f>
        <v>1284.5203777335983</v>
      </c>
    </row>
    <row r="7" spans="1:19" x14ac:dyDescent="0.25">
      <c r="A7" s="126"/>
      <c r="B7" s="23">
        <f>'SCI-SFPO'!B8+'Dolus '!B8+'La Josière'!B8</f>
        <v>196.20089999999999</v>
      </c>
      <c r="C7" s="23">
        <f>'SCI-SFPO'!C8+'Dolus '!C8+'La Josière'!C8</f>
        <v>275.48689999999999</v>
      </c>
      <c r="D7" s="23">
        <f>'SCI-SFPO'!D8+'Dolus '!D8+'La Josière'!D8</f>
        <v>506.83249999999998</v>
      </c>
      <c r="E7" s="23">
        <f>'SCI-SFPO'!E8+'Dolus '!E8+'La Josière'!E8</f>
        <v>691.39439999999991</v>
      </c>
      <c r="F7" s="23">
        <f>'SCI-SFPO'!F8+'Dolus '!F8+'La Josière'!F8</f>
        <v>757.47079999999994</v>
      </c>
      <c r="G7" s="23">
        <f>'SCI-SFPO'!G8+'Dolus '!G8+'La Josière'!G8</f>
        <v>854.8451</v>
      </c>
      <c r="H7" s="23">
        <f>'SCI-SFPO'!H8+'Dolus '!H8+'La Josière'!H8</f>
        <v>897.61539999999991</v>
      </c>
      <c r="I7" s="23">
        <f>'SCI-SFPO'!I8+'Dolus '!I8+'La Josière'!I8</f>
        <v>764.46550000000002</v>
      </c>
      <c r="J7" s="23">
        <f>'SCI-SFPO'!J8+'Dolus '!J8+'La Josière'!J8</f>
        <v>606.82220000000007</v>
      </c>
      <c r="K7" s="23">
        <f>'SCI-SFPO'!K8+'Dolus '!K8+'La Josière'!K8</f>
        <v>410.7559</v>
      </c>
      <c r="L7" s="23">
        <f>'SCI-SFPO'!L8+'Dolus '!L8+'La Josière'!L8</f>
        <v>255.03410000000002</v>
      </c>
      <c r="M7" s="23">
        <f>'SCI-SFPO'!M8+'Dolus '!M8+'La Josière'!M8</f>
        <v>183.14879999999999</v>
      </c>
      <c r="N7" s="44"/>
      <c r="O7" s="19">
        <f>SUM(B7:M7)</f>
        <v>6400.0725000000002</v>
      </c>
      <c r="P7" s="45"/>
      <c r="Q7" s="46">
        <f>O7+'Massé '!N8</f>
        <v>7940.5005000000001</v>
      </c>
      <c r="R7" s="73"/>
    </row>
    <row r="8" spans="1:19" ht="15.75" thickBot="1" x14ac:dyDescent="0.3">
      <c r="A8" s="127" t="s">
        <v>56</v>
      </c>
      <c r="B8" s="37">
        <f>'SCI-SFPO'!B9+'Dolus '!B9+'La Josière'!B9</f>
        <v>1777</v>
      </c>
      <c r="C8" s="37">
        <f>'SCI-SFPO'!C9+'Dolus '!C9+'La Josière'!C9</f>
        <v>2554</v>
      </c>
      <c r="D8" s="37">
        <f>'SCI-SFPO'!D9+'Dolus '!D9+'La Josière'!D9</f>
        <v>3808.6</v>
      </c>
      <c r="E8" s="37">
        <f>'SCI-SFPO'!E7+'Dolus '!E9+'La Josière'!E9</f>
        <v>5306</v>
      </c>
      <c r="F8" s="37">
        <f>'SCI-SFPO'!F9+'Dolus '!F9+'La Josière'!F9</f>
        <v>7089</v>
      </c>
      <c r="G8" s="37">
        <f>'SCI-SFPO'!G9+'Dolus '!G9+'La Josière'!G9</f>
        <v>6511</v>
      </c>
      <c r="H8" s="37">
        <f>'SCI-SFPO'!H9+'Dolus '!H9+'La Josière'!H9</f>
        <v>7445</v>
      </c>
      <c r="I8" s="37">
        <f>'SCI-SFPO'!I9+'Dolus '!I9+'La Josière'!I9</f>
        <v>6061</v>
      </c>
      <c r="J8" s="37">
        <f>'SCI-SFPO'!J9+'Dolus '!J9+'La Josière'!J9</f>
        <v>4945</v>
      </c>
      <c r="K8" s="37">
        <f>'SCI-SFPO'!K9+'Dolus '!K9+'La Josière'!K9</f>
        <v>2969</v>
      </c>
      <c r="L8" s="37">
        <f>'SCI-SFPO'!L9+'Dolus '!L9+'La Josière'!L9</f>
        <v>2070.5</v>
      </c>
      <c r="M8" s="37">
        <f>'SCI-SFPO'!M9+'Dolus '!M9+'La Josière'!M9</f>
        <v>1153</v>
      </c>
      <c r="N8" s="19">
        <f t="shared" ref="N8" si="0">SUM(B8:M8)</f>
        <v>51689.1</v>
      </c>
      <c r="O8" s="44"/>
      <c r="P8" s="56">
        <f>N8+'Massé '!N9</f>
        <v>65786.100000000006</v>
      </c>
      <c r="Q8" s="45"/>
      <c r="R8" s="74"/>
    </row>
    <row r="9" spans="1:19" ht="15.75" thickBot="1" x14ac:dyDescent="0.3">
      <c r="A9" s="128"/>
      <c r="B9" s="34">
        <f>'SCI-SFPO'!B10+'Dolus '!B10+'La Josière'!B10</f>
        <v>227.41980000000001</v>
      </c>
      <c r="C9" s="34">
        <f>'SCI-SFPO'!C10+'Dolus '!C10+'La Josière'!C10</f>
        <v>324.20709999999997</v>
      </c>
      <c r="D9" s="34">
        <f>'SCI-SFPO'!D10+'Dolus '!D10+'La Josière'!D10</f>
        <v>478.62549999999999</v>
      </c>
      <c r="E9" s="34">
        <f>'SCI-SFPO'!E10+'Dolus '!E10+'La Josière'!E10</f>
        <v>640.98029999999994</v>
      </c>
      <c r="F9" s="34">
        <f>'SCI-SFPO'!F10+'Dolus '!F10+'La Josière'!F10</f>
        <v>887.41459999999995</v>
      </c>
      <c r="G9" s="34">
        <f>'SCI-SFPO'!G10+'Dolus '!G10+'La Josière'!G10</f>
        <v>817.6905999999999</v>
      </c>
      <c r="H9" s="34">
        <f>'SCI-SFPO'!H10+'Dolus '!H10+'La Josière'!H10</f>
        <v>931.02289999999994</v>
      </c>
      <c r="I9" s="34">
        <f>'SCI-SFPO'!I10+'Dolus '!I10+'La Josière'!I10</f>
        <v>763.98579999999993</v>
      </c>
      <c r="J9" s="34">
        <f>'SCI-SFPO'!J10+'Dolus '!J10+'La Josière'!J10</f>
        <v>624.94009999999992</v>
      </c>
      <c r="K9" s="34">
        <f>'SCI-SFPO'!K10+'Dolus '!K10+'La Josière'!K10</f>
        <v>374.90649999999994</v>
      </c>
      <c r="L9" s="34">
        <f>'SCI-SFPO'!L10+'Dolus '!L10+'La Josière'!L10</f>
        <v>263.42199999999997</v>
      </c>
      <c r="M9" s="34">
        <f>'SCI-SFPO'!M10+'Dolus '!M10+'La Josière'!M10</f>
        <v>146.7817</v>
      </c>
      <c r="N9" s="21"/>
      <c r="O9" s="19">
        <f t="shared" ref="O9" si="1">SUM(B9:M9)</f>
        <v>6481.3968999999979</v>
      </c>
      <c r="P9" s="45"/>
      <c r="Q9" s="77">
        <f>O9+'Massé '!N10</f>
        <v>8026.4280999999983</v>
      </c>
      <c r="R9" s="78">
        <f>(O9/F3)*100</f>
        <v>13.162810604826699</v>
      </c>
    </row>
    <row r="10" spans="1:19" s="64" customFormat="1" x14ac:dyDescent="0.25">
      <c r="A10" s="69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P10" s="62"/>
      <c r="Q10" s="63"/>
      <c r="R10" s="63"/>
    </row>
    <row r="11" spans="1:19" s="64" customFormat="1" x14ac:dyDescent="0.25">
      <c r="A11" s="69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123" t="s">
        <v>36</v>
      </c>
      <c r="O11" s="123"/>
      <c r="P11" s="124" t="s">
        <v>39</v>
      </c>
      <c r="Q11" s="124"/>
      <c r="R11" s="11"/>
    </row>
    <row r="12" spans="1:19" s="64" customFormat="1" x14ac:dyDescent="0.25">
      <c r="A12" s="125" t="s">
        <v>58</v>
      </c>
      <c r="B12" s="22">
        <f>'SCI-SFPO'!B7+'Dolus '!B7+'La Josière'!B7+'Massé '!B7</f>
        <v>2238</v>
      </c>
      <c r="C12" s="22">
        <f>'SCI-SFPO'!C7+'Dolus '!C7+'La Josière'!C7+'Massé '!C7</f>
        <v>3153</v>
      </c>
      <c r="D12" s="22">
        <f>'SCI-SFPO'!D7+'Dolus '!D7+'La Josière'!D7+'Massé '!D7</f>
        <v>5801</v>
      </c>
      <c r="E12" s="22">
        <f>'SCI-SFPO'!E7+'Dolus '!E7+'La Josière'!E7+'Massé '!E7</f>
        <v>7907</v>
      </c>
      <c r="F12" s="22">
        <f>'SCI-SFPO'!F7+'Dolus '!F7+'La Josière'!F7+'Massé '!F7</f>
        <v>8673</v>
      </c>
      <c r="G12" s="22">
        <f>'SCI-SFPO'!G7+'Dolus '!G7+'La Josière'!G7+'Massé '!G7</f>
        <v>9791</v>
      </c>
      <c r="H12" s="22">
        <f>'SCI-SFPO'!H7+'Dolus '!H7+'La Josière'!H7+'Massé '!H7</f>
        <v>10278</v>
      </c>
      <c r="I12" s="22">
        <f>'SCI-SFPO'!I7+'Dolus '!I7+'La Josière'!I7+'Massé '!I7</f>
        <v>8744</v>
      </c>
      <c r="J12" s="22">
        <f>'SCI-SFPO'!J7+'Dolus '!J7+'La Josière'!J7+'Massé '!J7</f>
        <v>6916</v>
      </c>
      <c r="K12" s="22">
        <f>'SCI-SFPO'!K7+'Dolus '!K7+'La Josière'!K7+'Massé '!K7</f>
        <v>4659</v>
      </c>
      <c r="L12" s="22">
        <f>'SCI-SFPO'!L7+'Dolus '!L7+'La Josière'!L7+'Massé '!L7</f>
        <v>2891</v>
      </c>
      <c r="M12" s="22">
        <f>'SCI-SFPO'!M7+'Dolus '!M7+'La Josière'!M7+'Massé '!M7</f>
        <v>2077</v>
      </c>
      <c r="N12" s="71">
        <f>SUM(B12:M12)</f>
        <v>73128</v>
      </c>
      <c r="O12" s="66"/>
      <c r="P12" s="65"/>
      <c r="Q12" s="65"/>
      <c r="R12" s="11"/>
    </row>
    <row r="13" spans="1:19" s="64" customFormat="1" ht="15.75" thickBot="1" x14ac:dyDescent="0.3">
      <c r="A13" s="126"/>
      <c r="B13" s="23">
        <f>'SCI-SFPO'!B8+'Dolus '!B8+'La Josière'!B8+'Massé '!B8</f>
        <v>273.35929999999996</v>
      </c>
      <c r="C13" s="23">
        <f>'SCI-SFPO'!C8+'Dolus '!C8+'La Josière'!C8+'Massé '!C8</f>
        <v>386.07330000000002</v>
      </c>
      <c r="D13" s="23">
        <f>'SCI-SFPO'!D8+'Dolus '!D8+'La Josière'!D8+'Massé '!D8</f>
        <v>708.38689999999997</v>
      </c>
      <c r="E13" s="23">
        <f>'SCI-SFPO'!E8+'Dolus '!E8+'La Josière'!E8+'Massé '!E8</f>
        <v>961.99679999999989</v>
      </c>
      <c r="F13" s="23">
        <f>'SCI-SFPO'!F8+'Dolus '!F8+'La Josière'!F8+'Massé '!F8</f>
        <v>1055.4731999999999</v>
      </c>
      <c r="G13" s="23">
        <f>'SCI-SFPO'!G8+'Dolus '!G8+'La Josière'!G8+'Massé '!G8</f>
        <v>1191.3171</v>
      </c>
      <c r="H13" s="23">
        <f>'SCI-SFPO'!H8+'Dolus '!H8+'La Josière'!H8+'Massé '!H8</f>
        <v>1250.0889999999999</v>
      </c>
      <c r="I13" s="23">
        <f>'SCI-SFPO'!I8+'Dolus '!I8+'La Josière'!I8+'Massé '!I8</f>
        <v>1063.6735000000001</v>
      </c>
      <c r="J13" s="23">
        <f>'SCI-SFPO'!J8+'Dolus '!J8+'La Josière'!J8+'Massé '!J8</f>
        <v>840.05100000000004</v>
      </c>
      <c r="K13" s="23">
        <f>'SCI-SFPO'!K8+'Dolus '!K8+'La Josière'!K8+'Massé '!K8</f>
        <v>564.52469999999994</v>
      </c>
      <c r="L13" s="23">
        <f>'SCI-SFPO'!L8+'Dolus '!L8+'La Josière'!L8+'Massé '!L8</f>
        <v>350.93410000000006</v>
      </c>
      <c r="M13" s="23">
        <f>'SCI-SFPO'!M8+'Dolus '!M8+'La Josière'!M8+'Massé '!M8</f>
        <v>252.5256</v>
      </c>
      <c r="N13" s="66"/>
      <c r="O13" s="70">
        <f>SUM(B13:N13)</f>
        <v>8898.4045000000024</v>
      </c>
      <c r="P13" s="65"/>
      <c r="Q13" s="65"/>
      <c r="R13" s="11"/>
    </row>
    <row r="14" spans="1:19" s="1" customFormat="1" ht="15.75" thickBot="1" x14ac:dyDescent="0.3">
      <c r="A14" s="127" t="s">
        <v>59</v>
      </c>
      <c r="B14" s="82">
        <f>'SCI-SFPO'!B12+'Dolus '!B12+'La Josière'!B12+'Massé '!B12</f>
        <v>2021.2</v>
      </c>
      <c r="C14" s="82">
        <f>'SCI-SFPO'!C12+'Dolus '!C12+'La Josière'!C12+'Massé '!C12</f>
        <v>4255.3999999999996</v>
      </c>
      <c r="D14" s="82">
        <f>'SCI-SFPO'!D12+'Dolus '!D12+'La Josière'!D12+'Massé '!D12</f>
        <v>5236</v>
      </c>
      <c r="E14" s="82">
        <f>'SCI-SFPO'!E12+'Dolus '!E12+'La Josière'!E12+'Massé '!E12</f>
        <v>8469.6</v>
      </c>
      <c r="F14" s="82">
        <f>'SCI-SFPO'!F12+'Dolus '!F12+'La Josière'!F12+'Massé '!F12</f>
        <v>10262.099999999999</v>
      </c>
      <c r="G14" s="82">
        <f>'SCI-SFPO'!G12+'Dolus '!G12+'La Josière'!G12+'Massé '!G12</f>
        <v>9639.5</v>
      </c>
      <c r="H14" s="82">
        <f>'SCI-SFPO'!H12+'Dolus '!H12+'La Josière'!H12+'Massé '!H12</f>
        <v>9395.2000000000007</v>
      </c>
      <c r="I14" s="82">
        <f>'SCI-SFPO'!I12+'Dolus '!I12+'La Josière'!I12+'Massé '!I12</f>
        <v>8307.2000000000007</v>
      </c>
      <c r="J14" s="82">
        <f>'SCI-SFPO'!J12+'Dolus '!J12+'La Josière'!J12+'Massé '!J12</f>
        <v>6742.2</v>
      </c>
      <c r="K14" s="82">
        <f>'SCI-SFPO'!K12+'Dolus '!K12+'La Josière'!K12+'Massé '!K12</f>
        <v>4527.3</v>
      </c>
      <c r="L14" s="82">
        <f>'SCI-SFPO'!L12+'Dolus '!L12+'La Josière'!L12+'Massé '!L12</f>
        <v>2396.8000000000002</v>
      </c>
      <c r="M14" s="82">
        <f>'SCI-SFPO'!M12+'Dolus '!M12+'La Josière'!M12+'Massé '!M12</f>
        <v>1760</v>
      </c>
      <c r="N14" s="71">
        <f>'SCI-SFPO'!N12+'Dolus '!N12+'La Josière'!N12+'Massé '!N12</f>
        <v>73012.5</v>
      </c>
      <c r="O14" s="8"/>
      <c r="P14" s="83">
        <f>N14+'Badou '!N12</f>
        <v>93694.5</v>
      </c>
      <c r="Q14" s="81"/>
      <c r="R14" s="75"/>
      <c r="S14" s="80">
        <f>N14/59.04</f>
        <v>1236.6615853658536</v>
      </c>
    </row>
    <row r="15" spans="1:19" s="1" customFormat="1" x14ac:dyDescent="0.25">
      <c r="A15" s="128"/>
      <c r="B15" s="33">
        <f>'SCI-SFPO'!B13+'Dolus '!B13+'La Josière'!B13+'Massé '!B13</f>
        <v>245.09682000000001</v>
      </c>
      <c r="C15" s="33">
        <f>'SCI-SFPO'!C13+'Dolus '!C13+'La Josière'!C13+'Massé '!C13</f>
        <v>515.14814000000001</v>
      </c>
      <c r="D15" s="33">
        <f>'SCI-SFPO'!D13+'Dolus '!D13+'La Josière'!D13+'Massé '!D13</f>
        <v>625.35249999999996</v>
      </c>
      <c r="E15" s="59">
        <f>'SCI-SFPO'!E13+'Dolus '!E13+'La Josière'!E13+'Massé '!E13</f>
        <v>1018.4998099999999</v>
      </c>
      <c r="F15" s="59">
        <f>'SCI-SFPO'!F13+'Dolus '!F13+'La Josière'!F13+'Massé '!F13</f>
        <v>1233.8214499999999</v>
      </c>
      <c r="G15" s="59">
        <f>'SCI-SFPO'!G13+'Dolus '!G13+'La Josière'!G13+'Massé '!G13</f>
        <v>1155.7102</v>
      </c>
      <c r="H15" s="33">
        <f>'SCI-SFPO'!H13+'Dolus '!H13+'La Josière'!H13+'Massé '!H13</f>
        <v>1134.0298700000001</v>
      </c>
      <c r="I15" s="33">
        <f>'SCI-SFPO'!I13+'Dolus '!I13+'La Josière'!I13+'Massé '!I13</f>
        <v>1002.3919799999999</v>
      </c>
      <c r="J15" s="33">
        <f>'SCI-SFPO'!J13+'Dolus '!J13+'La Josière'!J13+'Massé '!J13</f>
        <v>817.01712999999995</v>
      </c>
      <c r="K15" s="33">
        <f>'SCI-SFPO'!K13+'Dolus '!K13+'La Josière'!K13+'Massé '!K13</f>
        <v>550.51522</v>
      </c>
      <c r="L15" s="33">
        <f>'SCI-SFPO'!L13+'Dolus '!L13+'La Josière'!L13+'Massé '!L13</f>
        <v>291.83675999999997</v>
      </c>
      <c r="M15" s="33">
        <f>'SCI-SFPO'!M13+'Dolus '!M13+'La Josière'!M13+'Massé '!M13</f>
        <v>214.41747999999998</v>
      </c>
      <c r="N15" s="9"/>
      <c r="O15" s="84">
        <f>'SCI-SFPO'!N13+'Dolus '!N13+'La Josière'!N13+'Massé '!N13</f>
        <v>8803.8373600000014</v>
      </c>
      <c r="P15" s="81"/>
      <c r="Q15" s="81">
        <f>O15+'Badou '!N13</f>
        <v>11151.244360000001</v>
      </c>
      <c r="R15" s="76"/>
    </row>
    <row r="16" spans="1:19" ht="30" x14ac:dyDescent="0.25">
      <c r="A16" s="91" t="s">
        <v>55</v>
      </c>
      <c r="B16" s="92">
        <f>(B14/B12)*100</f>
        <v>90.312779267202856</v>
      </c>
      <c r="C16" s="92">
        <f t="shared" ref="C16:N16" si="2">(C14/C12)*100</f>
        <v>134.96352679987314</v>
      </c>
      <c r="D16" s="92">
        <f t="shared" si="2"/>
        <v>90.260299948284782</v>
      </c>
      <c r="E16" s="92">
        <f t="shared" si="2"/>
        <v>107.11521436701656</v>
      </c>
      <c r="F16" s="92">
        <f t="shared" si="2"/>
        <v>118.32237979937736</v>
      </c>
      <c r="G16" s="92">
        <f t="shared" si="2"/>
        <v>98.452660606679601</v>
      </c>
      <c r="H16" s="92">
        <f t="shared" si="2"/>
        <v>91.410780307452825</v>
      </c>
      <c r="I16" s="92">
        <f t="shared" si="2"/>
        <v>95.004574565416291</v>
      </c>
      <c r="J16" s="92">
        <f t="shared" si="2"/>
        <v>97.486986697513018</v>
      </c>
      <c r="K16" s="92">
        <f t="shared" si="2"/>
        <v>97.173213135866064</v>
      </c>
      <c r="L16" s="92">
        <f t="shared" si="2"/>
        <v>82.905569007263921</v>
      </c>
      <c r="M16" s="92">
        <f t="shared" si="2"/>
        <v>84.737602311025512</v>
      </c>
      <c r="N16" s="92">
        <f t="shared" si="2"/>
        <v>99.842057761732846</v>
      </c>
    </row>
    <row r="18" spans="1:19" x14ac:dyDescent="0.25">
      <c r="A18" s="69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123" t="s">
        <v>72</v>
      </c>
      <c r="O18" s="123"/>
      <c r="P18" s="124" t="s">
        <v>73</v>
      </c>
      <c r="Q18" s="124"/>
    </row>
    <row r="19" spans="1:19" x14ac:dyDescent="0.25">
      <c r="A19" s="125" t="s">
        <v>70</v>
      </c>
      <c r="B19" s="22">
        <f>'SCI-SFPO'!B7+'Dolus '!B7+'La Josière'!B7+'Massé '!B7+'Badou '!B19</f>
        <v>3030</v>
      </c>
      <c r="C19" s="22">
        <f>'SCI-SFPO'!C7+'Dolus '!C7+'La Josière'!C7+'Massé '!C7+'Badou '!C19</f>
        <v>4299</v>
      </c>
      <c r="D19" s="22">
        <f>'SCI-SFPO'!D7+'Dolus '!D7+'La Josière'!D7+'Massé '!D7+'Badou '!D19</f>
        <v>8016</v>
      </c>
      <c r="E19" s="22">
        <f>'SCI-SFPO'!E7+'Dolus '!E7+'La Josière'!E7+'Massé '!E7+'Badou '!E19</f>
        <v>11106</v>
      </c>
      <c r="F19" s="22">
        <f>'SCI-SFPO'!F7+'Dolus '!F7+'La Josière'!F7+'Massé '!F7+'Badou '!F19</f>
        <v>12292</v>
      </c>
      <c r="G19" s="22">
        <f>'SCI-SFPO'!G7+'Dolus '!G7+'La Josière'!G7+'Massé '!G7+'Badou '!G19</f>
        <v>13924</v>
      </c>
      <c r="H19" s="22">
        <f>'SCI-SFPO'!H7+'Dolus '!H7+'La Josière'!H7+'Massé '!H7+'Badou '!H19</f>
        <v>14591</v>
      </c>
      <c r="I19" s="22">
        <f>'SCI-SFPO'!I7+'Dolus '!I7+'La Josière'!I7+'Massé '!I7+'Badou '!I19</f>
        <v>12312</v>
      </c>
      <c r="J19" s="22">
        <f>'SCI-SFPO'!J7+'Dolus '!J7+'La Josière'!J7+'Massé '!J7+'Badou '!J19</f>
        <v>9620</v>
      </c>
      <c r="K19" s="22">
        <f>'SCI-SFPO'!K7+'Dolus '!K7+'La Josière'!K7+'Massé '!K7+'Badou '!K19</f>
        <v>6393</v>
      </c>
      <c r="L19" s="22">
        <f>'SCI-SFPO'!L7+'Dolus '!L7+'La Josière'!L7+'Massé '!L7+'Badou '!L19</f>
        <v>3930</v>
      </c>
      <c r="M19" s="22">
        <f>'SCI-SFPO'!M7+'Dolus '!M7+'La Josière'!M7+'Massé '!M7+'Badou '!M19</f>
        <v>2790</v>
      </c>
      <c r="N19" s="99">
        <f>SUM(B19:M19)</f>
        <v>102303</v>
      </c>
      <c r="O19" s="96"/>
      <c r="P19" s="94"/>
      <c r="Q19" s="94"/>
    </row>
    <row r="20" spans="1:19" ht="15.75" thickBot="1" x14ac:dyDescent="0.3">
      <c r="A20" s="126"/>
      <c r="B20" s="23">
        <f>'SCI-SFPO'!B8+'Dolus '!B8+'La Josière'!B8+'Massé '!B8+'Badou '!B8</f>
        <v>363.25129999999996</v>
      </c>
      <c r="C20" s="23">
        <f>'SCI-SFPO'!C8+'Dolus '!C8+'La Josière'!C8+'Massé '!C8+'Badou '!C8</f>
        <v>516.14430000000004</v>
      </c>
      <c r="D20" s="23">
        <f>'SCI-SFPO'!D8+'Dolus '!D8+'La Josière'!D8+'Massé '!D8+'Badou '!D8</f>
        <v>959.7894</v>
      </c>
      <c r="E20" s="23">
        <f>'SCI-SFPO'!E8+'Dolus '!E8+'La Josière'!E8+'Massé '!E8+'Badou '!E8</f>
        <v>1325.0832999999998</v>
      </c>
      <c r="F20" s="23">
        <f>'SCI-SFPO'!F8+'Dolus '!F8+'La Josière'!F8+'Massé '!F8+'Badou '!F8</f>
        <v>1466.2296999999999</v>
      </c>
      <c r="G20" s="23">
        <f>'SCI-SFPO'!G8+'Dolus '!G8+'La Josière'!G8+'Massé '!G8+'Badou '!G8</f>
        <v>1660.4126000000001</v>
      </c>
      <c r="H20" s="23">
        <f>'SCI-SFPO'!H8+'Dolus '!H8+'La Josière'!H8+'Massé '!H8+'Badou '!H8</f>
        <v>1739.6144999999999</v>
      </c>
      <c r="I20" s="23">
        <f>'SCI-SFPO'!I8+'Dolus '!I8+'La Josière'!I8+'Massé '!I8+'Badou '!I8</f>
        <v>1468.6415000000002</v>
      </c>
      <c r="J20" s="23">
        <f>'SCI-SFPO'!J8+'Dolus '!J8+'La Josière'!J8+'Massé '!J8+'Badou '!J8</f>
        <v>1146.9549999999999</v>
      </c>
      <c r="K20" s="23">
        <f>'SCI-SFPO'!K8+'Dolus '!K8+'La Josière'!K8+'Massé '!K8+'Badou '!K8</f>
        <v>761.33369999999991</v>
      </c>
      <c r="L20" s="23">
        <f>'SCI-SFPO'!L8+'Dolus '!L8+'La Josière'!L8+'Massé '!L8+'Badou '!L8</f>
        <v>468.86060000000009</v>
      </c>
      <c r="M20" s="23">
        <f>'SCI-SFPO'!M8+'Dolus '!M8+'La Josière'!M8+'Massé '!M8+'Badou '!M8</f>
        <v>333.4511</v>
      </c>
      <c r="N20" s="96"/>
      <c r="O20" s="100">
        <f>SUM(B20:M20)</f>
        <v>12209.766999999998</v>
      </c>
      <c r="P20" s="94"/>
      <c r="Q20" s="94"/>
    </row>
    <row r="21" spans="1:19" ht="15.75" thickBot="1" x14ac:dyDescent="0.3">
      <c r="A21" s="127" t="s">
        <v>71</v>
      </c>
      <c r="B21" s="82">
        <f>'SCI-SFPO'!B17+'Dolus '!B17+'La Josière'!B17+'Massé '!B17+'Badou '!B17</f>
        <v>2917.1000000000004</v>
      </c>
      <c r="C21" s="82">
        <f>'SCI-SFPO'!C17+'Dolus '!C17+'La Josière'!C17+'Massé '!C17+'Badou '!C17</f>
        <v>3761.8</v>
      </c>
      <c r="D21" s="82">
        <f>'SCI-SFPO'!D17+'Dolus '!D17+'La Josière'!D17+'Massé '!D17+'Badou '!D17</f>
        <v>7548.5999999999995</v>
      </c>
      <c r="E21" s="82">
        <f>'SCI-SFPO'!E17+'Dolus '!E17+'La Josière'!E17+'Massé '!E17+'Badou '!E17</f>
        <v>11092.8</v>
      </c>
      <c r="F21" s="82">
        <f>'SCI-SFPO'!F17+'Dolus '!F17+'La Josière'!F17+'Massé '!F17+'Badou '!F17</f>
        <v>11435.7</v>
      </c>
      <c r="G21" s="82">
        <f>'SCI-SFPO'!G17+'Dolus '!G17+'La Josière'!G17+'Massé '!G17+'Badou '!G17</f>
        <v>12998.099999999999</v>
      </c>
      <c r="H21" s="82">
        <f>'SCI-SFPO'!H17+'Dolus '!H17+'La Josière'!H17+'Massé '!H17+'Badou '!H17</f>
        <v>13513.7</v>
      </c>
      <c r="I21" s="82">
        <f>'SCI-SFPO'!I17+'Dolus '!I17+'La Josière'!I17+'Massé '!I17+'Badou '!I17</f>
        <v>11772.6</v>
      </c>
      <c r="J21" s="82">
        <f>'SCI-SFPO'!J17+'Dolus '!J17+'La Josière'!J17+'Massé '!J17+'Badou '!J17</f>
        <v>7594.5</v>
      </c>
      <c r="K21" s="82">
        <f>'SCI-SFPO'!K17+'Dolus '!K17+'La Josière'!K17+'Massé '!K17+'Badou '!K17</f>
        <v>4970.3</v>
      </c>
      <c r="L21" s="82">
        <f>'SCI-SFPO'!L17+'Dolus '!L17+'La Josière'!L17+'Massé '!L17+'Badou '!L17</f>
        <v>3577</v>
      </c>
      <c r="M21" s="82">
        <f>'SCI-SFPO'!M17+'Dolus '!M17+'La Josière'!M17+'Massé '!M17+'Badou '!M17</f>
        <v>2458.21</v>
      </c>
      <c r="N21" s="97">
        <f>SUM(B21:M21)</f>
        <v>93640.410000000018</v>
      </c>
      <c r="O21" s="8"/>
      <c r="P21" s="83"/>
      <c r="Q21" s="81"/>
      <c r="S21" s="80">
        <f>N21/83.64</f>
        <v>1119.5649210903875</v>
      </c>
    </row>
    <row r="22" spans="1:19" x14ac:dyDescent="0.25">
      <c r="A22" s="128"/>
      <c r="B22" s="33">
        <f>'SCI-SFPO'!B18+'Dolus '!B18+'La Josière'!B18+'Massé '!B18+'Badou '!B18</f>
        <v>349.15051</v>
      </c>
      <c r="C22" s="33">
        <f>'SCI-SFPO'!C18+'Dolus '!C18+'La Josière'!C18+'Massé '!C18+'Badou '!C18</f>
        <v>447.55908999999997</v>
      </c>
      <c r="D22" s="33">
        <f>'SCI-SFPO'!D18+'Dolus '!D18+'La Josière'!D18+'Massé '!D18+'Badou '!D18</f>
        <v>898.62282000000005</v>
      </c>
      <c r="E22" s="33">
        <f>'SCI-SFPO'!E18+'Dolus '!E18+'La Josière'!E18+'Massé '!E18+'Badou '!E18</f>
        <v>1316.62237</v>
      </c>
      <c r="F22" s="33">
        <f>'SCI-SFPO'!F18+'Dolus '!F18+'La Josière'!F18+'Massé '!F18+'Badou '!F18</f>
        <v>1353.23982</v>
      </c>
      <c r="G22" s="33">
        <f>'SCI-SFPO'!G18+'Dolus '!G18+'La Josière'!G18+'Massé '!G18+'Badou '!G18</f>
        <v>1519.6290099999997</v>
      </c>
      <c r="H22" s="33">
        <f>'SCI-SFPO'!H18+'Dolus '!H18+'La Josière'!H18+'Massé '!H18+'Badou '!H18</f>
        <v>1594.1572800000001</v>
      </c>
      <c r="I22" s="33">
        <f>'SCI-SFPO'!I18+'Dolus '!I18+'La Josière'!I18+'Massé '!I18+'Badou '!I18</f>
        <v>1394.8550399999999</v>
      </c>
      <c r="J22" s="33">
        <f>'SCI-SFPO'!J18+'Dolus '!J18+'La Josière'!J18+'Massé '!J18+'Badou '!J18</f>
        <v>907.31003999999996</v>
      </c>
      <c r="K22" s="33">
        <f>'SCI-SFPO'!K18+'Dolus '!K18+'La Josière'!K18+'Massé '!K18+'Badou '!K18</f>
        <v>593.37718999999993</v>
      </c>
      <c r="L22" s="33">
        <f>'SCI-SFPO'!L18+'Dolus '!L18+'La Josière'!L18+'Massé '!L18+'Badou '!L18</f>
        <v>428.47805999999997</v>
      </c>
      <c r="M22" s="33">
        <f>'SCI-SFPO'!M18+'Dolus '!M18+'La Josière'!M18+'Massé '!M18+'Badou '!M18</f>
        <v>295.19368600000001</v>
      </c>
      <c r="N22" s="9"/>
      <c r="O22" s="98">
        <f>SUM(B22:M22)</f>
        <v>11098.194915999999</v>
      </c>
      <c r="P22" s="81"/>
      <c r="Q22" s="81"/>
    </row>
    <row r="23" spans="1:19" ht="30" x14ac:dyDescent="0.25">
      <c r="A23" s="91" t="s">
        <v>55</v>
      </c>
      <c r="B23" s="92">
        <f t="shared" ref="B23:I23" si="3">(B21/B19)*100</f>
        <v>96.273927392739296</v>
      </c>
      <c r="C23" s="92">
        <f t="shared" si="3"/>
        <v>87.504070714119564</v>
      </c>
      <c r="D23" s="92">
        <f t="shared" si="3"/>
        <v>94.169161676646695</v>
      </c>
      <c r="E23" s="92">
        <f t="shared" si="3"/>
        <v>99.881145326850344</v>
      </c>
      <c r="F23" s="92">
        <f t="shared" si="3"/>
        <v>93.033680442564275</v>
      </c>
      <c r="G23" s="92">
        <f t="shared" si="3"/>
        <v>93.350330364837674</v>
      </c>
      <c r="H23" s="92">
        <f t="shared" si="3"/>
        <v>92.616681516003013</v>
      </c>
      <c r="I23" s="92">
        <f t="shared" si="3"/>
        <v>95.61890838206628</v>
      </c>
      <c r="J23" s="92">
        <f t="shared" ref="J23:L23" si="4">(J21/J19)*100</f>
        <v>78.944906444906451</v>
      </c>
      <c r="K23" s="92">
        <f t="shared" si="4"/>
        <v>77.745972157046765</v>
      </c>
      <c r="L23" s="92">
        <f t="shared" si="4"/>
        <v>91.0178117048346</v>
      </c>
      <c r="M23" s="92">
        <f t="shared" ref="M23" si="5">(M21/M19)*100</f>
        <v>88.10788530465949</v>
      </c>
      <c r="N23" s="92">
        <f>N21/N19*100</f>
        <v>91.532418404152395</v>
      </c>
    </row>
    <row r="25" spans="1:19" x14ac:dyDescent="0.25">
      <c r="A25" s="69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123" t="s">
        <v>87</v>
      </c>
      <c r="O25" s="123"/>
      <c r="P25" s="124" t="s">
        <v>88</v>
      </c>
      <c r="Q25" s="124"/>
    </row>
    <row r="26" spans="1:19" x14ac:dyDescent="0.25">
      <c r="A26" s="125" t="s">
        <v>85</v>
      </c>
      <c r="B26" s="22">
        <f>B19</f>
        <v>3030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99">
        <f>SUM(B26:M26)</f>
        <v>3030</v>
      </c>
      <c r="O26" s="96"/>
      <c r="P26" s="116"/>
      <c r="Q26" s="116"/>
    </row>
    <row r="27" spans="1:19" x14ac:dyDescent="0.25">
      <c r="A27" s="126"/>
      <c r="B27" s="23">
        <f>B20</f>
        <v>363.25129999999996</v>
      </c>
      <c r="C27" s="23">
        <f>'SCI-SFPO'!C16+'Dolus '!C16+'La Josière'!C16+'Massé '!C16+'Badou '!C16</f>
        <v>0</v>
      </c>
      <c r="D27" s="23">
        <f>'SCI-SFPO'!D16+'Dolus '!D16+'La Josière'!D16+'Massé '!D16+'Badou '!D16</f>
        <v>0</v>
      </c>
      <c r="E27" s="23">
        <f>'SCI-SFPO'!E16+'Dolus '!E16+'La Josière'!E16+'Massé '!E16+'Badou '!E16</f>
        <v>0</v>
      </c>
      <c r="F27" s="23">
        <f>'SCI-SFPO'!F16+'Dolus '!F16+'La Josière'!F16+'Massé '!F16+'Badou '!F16</f>
        <v>0</v>
      </c>
      <c r="G27" s="23">
        <f>'SCI-SFPO'!G16+'Dolus '!G16+'La Josière'!G16+'Massé '!G16+'Badou '!G16</f>
        <v>0</v>
      </c>
      <c r="H27" s="23">
        <f>'SCI-SFPO'!H16+'Dolus '!H16+'La Josière'!H16+'Massé '!H16+'Badou '!H16</f>
        <v>0</v>
      </c>
      <c r="I27" s="23">
        <f>'SCI-SFPO'!I16+'Dolus '!I16+'La Josière'!I16+'Massé '!I16+'Badou '!I16</f>
        <v>0</v>
      </c>
      <c r="J27" s="23">
        <f>'SCI-SFPO'!J16+'Dolus '!J16+'La Josière'!J16+'Massé '!J16+'Badou '!J16</f>
        <v>0</v>
      </c>
      <c r="K27" s="23">
        <f>'SCI-SFPO'!K16+'Dolus '!K16+'La Josière'!K16+'Massé '!K16+'Badou '!K16</f>
        <v>0</v>
      </c>
      <c r="L27" s="23">
        <f>'SCI-SFPO'!L16+'Dolus '!L16+'La Josière'!L16+'Massé '!L16+'Badou '!L16</f>
        <v>0</v>
      </c>
      <c r="M27" s="23">
        <f>'SCI-SFPO'!M16+'Dolus '!M16+'La Josière'!M16+'Massé '!M16+'Badou '!M16</f>
        <v>0</v>
      </c>
      <c r="N27" s="96"/>
      <c r="O27" s="100">
        <f>SUM(B27:M27)</f>
        <v>363.25129999999996</v>
      </c>
      <c r="P27" s="116"/>
      <c r="Q27" s="116"/>
    </row>
    <row r="28" spans="1:19" x14ac:dyDescent="0.25">
      <c r="A28" s="127" t="s">
        <v>86</v>
      </c>
      <c r="B28" s="82">
        <f>'SCI-SFPO'!B22+'Dolus '!B22+'La Josière'!B22+'Massé '!B22+'Badou '!B22</f>
        <v>2389.0709999999999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97">
        <f>SUM(B28:M28)</f>
        <v>2389.0709999999999</v>
      </c>
      <c r="O28" s="8"/>
      <c r="P28" s="83"/>
      <c r="Q28" s="81"/>
    </row>
    <row r="29" spans="1:19" x14ac:dyDescent="0.25">
      <c r="A29" s="128"/>
      <c r="B29" s="33">
        <f>'SCI-SFPO'!B23+'Dolus '!B23+'La Josière'!B23+'Massé '!B23+'Badou '!B23</f>
        <v>286.50721490000001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9"/>
      <c r="O29" s="98">
        <f>SUM(B29:M29)</f>
        <v>286.50721490000001</v>
      </c>
      <c r="P29" s="81"/>
      <c r="Q29" s="81"/>
    </row>
    <row r="30" spans="1:19" ht="30" x14ac:dyDescent="0.25">
      <c r="A30" s="91" t="s">
        <v>55</v>
      </c>
      <c r="B30" s="92">
        <f t="shared" ref="B30" si="6">(B28/B26)*100</f>
        <v>78.847227722772274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>
        <f>N28/N26*100</f>
        <v>78.847227722772274</v>
      </c>
    </row>
  </sheetData>
  <mergeCells count="16">
    <mergeCell ref="N4:O4"/>
    <mergeCell ref="A8:A9"/>
    <mergeCell ref="A6:A7"/>
    <mergeCell ref="P4:Q4"/>
    <mergeCell ref="A14:A15"/>
    <mergeCell ref="N11:O11"/>
    <mergeCell ref="P11:Q11"/>
    <mergeCell ref="A12:A13"/>
    <mergeCell ref="N25:O25"/>
    <mergeCell ref="P25:Q25"/>
    <mergeCell ref="A26:A27"/>
    <mergeCell ref="A28:A29"/>
    <mergeCell ref="N18:O18"/>
    <mergeCell ref="P18:Q18"/>
    <mergeCell ref="A19:A20"/>
    <mergeCell ref="A21:A22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opLeftCell="A34" workbookViewId="0">
      <selection activeCell="P49" sqref="P49"/>
    </sheetView>
  </sheetViews>
  <sheetFormatPr baseColWidth="10" defaultRowHeight="15" x14ac:dyDescent="0.25"/>
  <cols>
    <col min="1" max="1" width="24.85546875" customWidth="1"/>
  </cols>
  <sheetData>
    <row r="2" spans="1:13" x14ac:dyDescent="0.25">
      <c r="A2" s="3"/>
      <c r="B2" s="3"/>
      <c r="C2" s="3"/>
      <c r="D2" s="3"/>
      <c r="E2" s="3"/>
      <c r="F2" s="3"/>
      <c r="G2" s="3"/>
      <c r="H2" s="3"/>
    </row>
    <row r="3" spans="1:13" ht="36.75" customHeight="1" x14ac:dyDescent="0.25">
      <c r="A3" s="129" t="s">
        <v>65</v>
      </c>
      <c r="B3" s="129"/>
      <c r="C3" s="129"/>
      <c r="D3" s="129"/>
      <c r="E3" s="129"/>
      <c r="F3" s="129"/>
      <c r="G3" s="129"/>
      <c r="H3" s="3"/>
    </row>
    <row r="5" spans="1:13" ht="36.75" customHeight="1" x14ac:dyDescent="0.25">
      <c r="A5" s="91" t="s">
        <v>64</v>
      </c>
      <c r="B5" s="8" t="str">
        <f>'chiffre d''affaires'!B5</f>
        <v>janvier</v>
      </c>
      <c r="C5" s="8" t="str">
        <f>'chiffre d''affaires'!C5</f>
        <v>février</v>
      </c>
      <c r="D5" s="8" t="str">
        <f>'chiffre d''affaires'!D5</f>
        <v>mars</v>
      </c>
      <c r="E5" s="8" t="str">
        <f>'chiffre d''affaires'!E5</f>
        <v>avril</v>
      </c>
      <c r="F5" s="8" t="str">
        <f>'chiffre d''affaires'!F5</f>
        <v>mai</v>
      </c>
      <c r="G5" s="8" t="str">
        <f>'chiffre d''affaires'!G5</f>
        <v>juin</v>
      </c>
      <c r="H5" s="8" t="str">
        <f>'chiffre d''affaires'!H5</f>
        <v>juillet</v>
      </c>
      <c r="I5" s="8" t="str">
        <f>'chiffre d''affaires'!I5</f>
        <v>aout</v>
      </c>
      <c r="J5" s="8" t="str">
        <f>'chiffre d''affaires'!J5</f>
        <v>septembre</v>
      </c>
      <c r="K5" s="8" t="str">
        <f>'chiffre d''affaires'!K5</f>
        <v>octobre</v>
      </c>
      <c r="L5" s="45" t="s">
        <v>68</v>
      </c>
      <c r="M5" s="45" t="s">
        <v>34</v>
      </c>
    </row>
    <row r="6" spans="1:13" x14ac:dyDescent="0.25">
      <c r="A6" s="91" t="s">
        <v>60</v>
      </c>
      <c r="B6" s="92">
        <f>'SCI-SFPO'!B15</f>
        <v>86.82634730538922</v>
      </c>
      <c r="C6" s="92">
        <f>'SCI-SFPO'!C15</f>
        <v>121.56057494866531</v>
      </c>
      <c r="D6" s="92">
        <f>'SCI-SFPO'!D15</f>
        <v>63.42015855039638</v>
      </c>
      <c r="E6" s="92">
        <f>'SCI-SFPO'!E15</f>
        <v>95.195246179966048</v>
      </c>
      <c r="F6" s="92">
        <f>'SCI-SFPO'!F15</f>
        <v>108.43032159264932</v>
      </c>
      <c r="G6" s="92">
        <f>'SCI-SFPO'!G15</f>
        <v>89.688346883468824</v>
      </c>
      <c r="H6" s="92">
        <f>'SCI-SFPO'!H15</f>
        <v>88.55194805194806</v>
      </c>
      <c r="I6" s="92">
        <f>'SCI-SFPO'!I15</f>
        <v>90.82181259600614</v>
      </c>
      <c r="J6" s="92">
        <f>'SCI-SFPO'!J15</f>
        <v>97.579681274900395</v>
      </c>
      <c r="K6" s="92">
        <f>'SCI-SFPO'!K15</f>
        <v>102.52307692307691</v>
      </c>
      <c r="L6" s="92">
        <f>'SCI-SFPO'!L15</f>
        <v>88.034398034398038</v>
      </c>
      <c r="M6" s="92">
        <f>'SCI-SFPO'!M15</f>
        <v>90.547945205479436</v>
      </c>
    </row>
    <row r="7" spans="1:13" x14ac:dyDescent="0.25">
      <c r="A7" s="91" t="s">
        <v>61</v>
      </c>
      <c r="B7" s="92">
        <f>'Dolus '!B15</f>
        <v>82.749326145552558</v>
      </c>
      <c r="C7" s="92">
        <f>'Dolus '!C15</f>
        <v>123.47328244274809</v>
      </c>
      <c r="D7" s="92">
        <f>'Dolus '!D15</f>
        <v>84.722222222222214</v>
      </c>
      <c r="E7" s="92">
        <f>'Dolus '!E15</f>
        <v>97.283849918433944</v>
      </c>
      <c r="F7" s="92">
        <f>'Dolus '!F15</f>
        <v>102.80359820089954</v>
      </c>
      <c r="G7" s="92">
        <f>'Dolus '!G15</f>
        <v>81.240827218145427</v>
      </c>
      <c r="H7" s="92">
        <f>'Dolus '!H15</f>
        <v>82.236340533672177</v>
      </c>
      <c r="I7" s="92">
        <f>'Dolus '!I15</f>
        <v>85.698447893569835</v>
      </c>
      <c r="J7" s="92">
        <f>'Dolus '!J15</f>
        <v>93.53817504655494</v>
      </c>
      <c r="K7" s="92">
        <f>'Dolus '!K15</f>
        <v>98.124137931034483</v>
      </c>
      <c r="L7" s="92">
        <f>'Dolus '!L15</f>
        <v>82.934782608695656</v>
      </c>
      <c r="M7" s="92">
        <f>'Dolus '!M15</f>
        <v>83.058823529411768</v>
      </c>
    </row>
    <row r="8" spans="1:13" ht="30" x14ac:dyDescent="0.25">
      <c r="A8" s="91" t="s">
        <v>62</v>
      </c>
      <c r="B8" s="92">
        <f>'La Josière'!B15</f>
        <v>94.451145958986729</v>
      </c>
      <c r="C8" s="92">
        <f>'La Josière'!C15</f>
        <v>145.80759046778465</v>
      </c>
      <c r="D8" s="92">
        <f>'La Josière'!D15</f>
        <v>99.440037330844604</v>
      </c>
      <c r="E8" s="92">
        <f>'La Josière'!E15</f>
        <v>111.58536585365854</v>
      </c>
      <c r="F8" s="92">
        <f>'La Josière'!F15</f>
        <v>124.28786964393481</v>
      </c>
      <c r="G8" s="92">
        <f>'La Josière'!G15</f>
        <v>104.57554725040043</v>
      </c>
      <c r="H8" s="92">
        <f>'La Josière'!H15</f>
        <v>98.095238095238102</v>
      </c>
      <c r="I8" s="92">
        <f>'La Josière'!I15</f>
        <v>100.02083953557606</v>
      </c>
      <c r="J8" s="92">
        <f>'La Josière'!J15</f>
        <v>100.76383763837637</v>
      </c>
      <c r="K8" s="92">
        <f>'La Josière'!K15</f>
        <v>97.022860180754918</v>
      </c>
      <c r="L8" s="92">
        <f>'La Josière'!L15</f>
        <v>85.961705831157531</v>
      </c>
      <c r="M8" s="92">
        <f>'La Josière'!M15</f>
        <v>90.615763546798021</v>
      </c>
    </row>
    <row r="9" spans="1:13" x14ac:dyDescent="0.25">
      <c r="A9" s="91" t="s">
        <v>66</v>
      </c>
      <c r="B9" s="92">
        <f>'Massé '!B15</f>
        <v>91.079545454545467</v>
      </c>
      <c r="C9" s="92">
        <f>'Massé '!C15</f>
        <v>135.22299306243806</v>
      </c>
      <c r="D9" s="92">
        <f>'Massé '!D15</f>
        <v>95.269168026101141</v>
      </c>
      <c r="E9" s="92">
        <f>'Massé '!E15</f>
        <v>112.19117051437829</v>
      </c>
      <c r="F9" s="92">
        <f>'Massé '!F15</f>
        <v>123.41669731518941</v>
      </c>
      <c r="G9" s="92">
        <f>'Massé '!G15</f>
        <v>103.59934853420197</v>
      </c>
      <c r="H9" s="92">
        <f>'Massé '!H15</f>
        <v>89.06405472636817</v>
      </c>
      <c r="I9" s="92">
        <f>'Massé '!I15</f>
        <v>95.439560439560438</v>
      </c>
      <c r="J9" s="92">
        <f>'Massé '!J15</f>
        <v>95.26315789473685</v>
      </c>
      <c r="K9" s="92">
        <f>'Massé '!K15</f>
        <v>94.404846756949397</v>
      </c>
      <c r="L9" s="92">
        <f>'Massé '!L15</f>
        <v>76.491428571428571</v>
      </c>
      <c r="M9" s="92">
        <f>'Massé '!M15</f>
        <v>75.418641390205366</v>
      </c>
    </row>
    <row r="10" spans="1:13" ht="30" x14ac:dyDescent="0.25">
      <c r="A10" s="91" t="s">
        <v>63</v>
      </c>
      <c r="B10" s="8"/>
      <c r="C10" s="8"/>
      <c r="D10" s="8"/>
      <c r="E10" s="8"/>
      <c r="F10" s="92">
        <f>'Badou '!F15</f>
        <v>90.32882011605416</v>
      </c>
      <c r="G10" s="92">
        <f>'Badou '!G15</f>
        <v>96.225502056617472</v>
      </c>
      <c r="H10" s="92">
        <f>'Badou '!H15</f>
        <v>95.386042198006024</v>
      </c>
      <c r="I10" s="92">
        <f>'Badou '!I15</f>
        <v>99.075112107623326</v>
      </c>
      <c r="J10" s="92">
        <f>'Badou '!J15</f>
        <v>98.40976331360946</v>
      </c>
      <c r="K10" s="92">
        <f>'Badou '!K15</f>
        <v>97.116493656286039</v>
      </c>
      <c r="L10" s="92">
        <f>'Badou '!L15</f>
        <v>70.163618864292587</v>
      </c>
      <c r="M10" s="92">
        <f>'Badou '!M15</f>
        <v>100</v>
      </c>
    </row>
    <row r="36" spans="1:13" ht="30" x14ac:dyDescent="0.25">
      <c r="A36" s="91" t="s">
        <v>74</v>
      </c>
      <c r="B36" s="8" t="str">
        <f>'chiffre d''affaires'!B5</f>
        <v>janvier</v>
      </c>
      <c r="C36" s="8" t="str">
        <f>'chiffre d''affaires'!C5</f>
        <v>février</v>
      </c>
      <c r="D36" s="8" t="str">
        <f>'chiffre d''affaires'!D5</f>
        <v>mars</v>
      </c>
      <c r="E36" s="8" t="str">
        <f>'chiffre d''affaires'!E5</f>
        <v>avril</v>
      </c>
      <c r="F36" s="8" t="str">
        <f>'chiffre d''affaires'!F5</f>
        <v>mai</v>
      </c>
      <c r="G36" s="8" t="str">
        <f>'chiffre d''affaires'!G5</f>
        <v>juin</v>
      </c>
      <c r="H36" s="8" t="str">
        <f>'chiffre d''affaires'!H5</f>
        <v>juillet</v>
      </c>
      <c r="I36" s="8" t="str">
        <f>'chiffre d''affaires'!I5</f>
        <v>aout</v>
      </c>
      <c r="J36" s="8" t="str">
        <f>'chiffre d''affaires'!J5</f>
        <v>septembre</v>
      </c>
      <c r="K36" s="8" t="str">
        <f>'chiffre d''affaires'!K5</f>
        <v>octobre</v>
      </c>
      <c r="L36" s="8" t="str">
        <f>'chiffre d''affaires'!L5</f>
        <v>novembre</v>
      </c>
      <c r="M36" s="8" t="str">
        <f>'chiffre d''affaires'!M5</f>
        <v>décembre</v>
      </c>
    </row>
    <row r="37" spans="1:13" x14ac:dyDescent="0.25">
      <c r="A37" s="91" t="s">
        <v>60</v>
      </c>
      <c r="B37" s="92">
        <f>'SCI-SFPO'!B20</f>
        <v>95.688622754491021</v>
      </c>
      <c r="C37" s="92">
        <f>'SCI-SFPO'!C20</f>
        <v>78.685831622176593</v>
      </c>
      <c r="D37" s="92">
        <f>'SCI-SFPO'!D20</f>
        <v>89.784824462061152</v>
      </c>
      <c r="E37" s="92">
        <f>'SCI-SFPO'!E20</f>
        <v>95.492359932088291</v>
      </c>
      <c r="F37" s="92">
        <f>'SCI-SFPO'!F20</f>
        <v>94.027565084226651</v>
      </c>
      <c r="G37" s="92">
        <f>'SCI-SFPO'!G20</f>
        <v>84.972899728997291</v>
      </c>
      <c r="H37" s="92">
        <f>'SCI-SFPO'!H20</f>
        <v>88.987012987012989</v>
      </c>
      <c r="I37" s="92">
        <f>'SCI-SFPO'!I20</f>
        <v>90.138248847926263</v>
      </c>
      <c r="J37" s="92">
        <f>'SCI-SFPO'!J20</f>
        <v>85.846613545816723</v>
      </c>
      <c r="K37" s="92">
        <f>'SCI-SFPO'!K20</f>
        <v>83.907692307692301</v>
      </c>
      <c r="L37" s="92">
        <f>'SCI-SFPO'!L20</f>
        <v>96.830466830466833</v>
      </c>
      <c r="M37" s="92">
        <f>'SCI-SFPO'!M20</f>
        <v>94.452054794520564</v>
      </c>
    </row>
    <row r="38" spans="1:13" x14ac:dyDescent="0.25">
      <c r="A38" s="91" t="s">
        <v>61</v>
      </c>
      <c r="B38" s="92">
        <f>'Dolus '!B20</f>
        <v>93.881401617250688</v>
      </c>
      <c r="C38" s="92">
        <f>'Dolus '!C20</f>
        <v>76.125954198473281</v>
      </c>
      <c r="D38" s="92">
        <f>'Dolus '!D20</f>
        <v>84.871794871794876</v>
      </c>
      <c r="E38" s="92">
        <f>'Dolus '!E20</f>
        <v>91.908646003262646</v>
      </c>
      <c r="F38" s="92">
        <f>'Dolus '!F20</f>
        <v>73.283358320839582</v>
      </c>
      <c r="G38" s="92">
        <f>'Dolus '!G20</f>
        <v>51.694462975316881</v>
      </c>
      <c r="H38" s="92">
        <f>'Dolus '!H20</f>
        <v>70.533672172808139</v>
      </c>
      <c r="I38" s="92">
        <f>'Dolus '!I20</f>
        <v>86.711012564671108</v>
      </c>
      <c r="J38" s="92">
        <f>'Dolus '!J20</f>
        <v>80.828677839851025</v>
      </c>
      <c r="K38" s="92">
        <f>'Dolus '!K20</f>
        <v>78.41379310344827</v>
      </c>
      <c r="L38" s="92">
        <f>'Dolus '!L20</f>
        <v>96.021739130434781</v>
      </c>
      <c r="M38" s="92">
        <f>'Dolus '!M20</f>
        <v>95.911764705882362</v>
      </c>
    </row>
    <row r="39" spans="1:13" ht="30" x14ac:dyDescent="0.25">
      <c r="A39" s="91" t="s">
        <v>62</v>
      </c>
      <c r="B39" s="92">
        <f>'La Josière'!B20</f>
        <v>105.12665862484923</v>
      </c>
      <c r="C39" s="92">
        <f>'La Josière'!C20</f>
        <v>93.64518976169461</v>
      </c>
      <c r="D39" s="92">
        <f>'La Josière'!D20</f>
        <v>99.962669155389634</v>
      </c>
      <c r="E39" s="92">
        <f>'La Josière'!E20</f>
        <v>105.48450889914305</v>
      </c>
      <c r="F39" s="92">
        <f>'La Josière'!F20</f>
        <v>99.248642124321066</v>
      </c>
      <c r="G39" s="92">
        <f>'La Josière'!G20</f>
        <v>101.59636946075814</v>
      </c>
      <c r="H39" s="92">
        <f>'La Josière'!H20</f>
        <v>98.751266464032412</v>
      </c>
      <c r="I39" s="92">
        <f>'La Josière'!I20</f>
        <v>102.60494194700804</v>
      </c>
      <c r="J39" s="92">
        <f>'La Josière'!J20</f>
        <v>87.20295202952029</v>
      </c>
      <c r="K39" s="92">
        <f>'La Josière'!K20</f>
        <v>81.499202551834131</v>
      </c>
      <c r="L39" s="92">
        <f>'La Josière'!L20</f>
        <v>94.438642297650119</v>
      </c>
      <c r="M39" s="92">
        <f>'La Josière'!M20</f>
        <v>96.995073891625623</v>
      </c>
    </row>
    <row r="40" spans="1:13" x14ac:dyDescent="0.25">
      <c r="A40" s="91" t="s">
        <v>66</v>
      </c>
      <c r="B40" s="92">
        <f>'Massé '!B20</f>
        <v>83.196022727272734</v>
      </c>
      <c r="C40" s="92">
        <f>'Massé '!C20</f>
        <v>76.580773042616457</v>
      </c>
      <c r="D40" s="92">
        <f>'Massé '!D20</f>
        <v>87.232191408374121</v>
      </c>
      <c r="E40" s="92">
        <f>'Massé '!E20</f>
        <v>98.894289185905222</v>
      </c>
      <c r="F40" s="92">
        <f>'Massé '!F20</f>
        <v>97.977197499080546</v>
      </c>
      <c r="G40" s="92">
        <f>'Massé '!G20</f>
        <v>96.553745928338756</v>
      </c>
      <c r="H40" s="92">
        <f>'Massé '!H20</f>
        <v>95.75248756218906</v>
      </c>
      <c r="I40" s="92">
        <f>'Massé '!I20</f>
        <v>98.655677655677664</v>
      </c>
      <c r="J40" s="92">
        <f>'Massé '!J20</f>
        <v>83.002819548872182</v>
      </c>
      <c r="K40" s="92">
        <f>'Massé '!K20</f>
        <v>77.077690662865294</v>
      </c>
      <c r="L40" s="92">
        <f>'Massé '!L20</f>
        <v>86.754285714285714</v>
      </c>
      <c r="M40" s="92">
        <f>'Massé '!M20</f>
        <v>82.260663507109015</v>
      </c>
    </row>
    <row r="41" spans="1:13" ht="30" x14ac:dyDescent="0.25">
      <c r="A41" s="91" t="s">
        <v>63</v>
      </c>
      <c r="B41" s="105">
        <f>'Badou '!B20</f>
        <v>100</v>
      </c>
      <c r="C41" s="105">
        <f>'Badou '!C20</f>
        <v>100</v>
      </c>
      <c r="D41" s="105">
        <f>'Badou '!D20</f>
        <v>100</v>
      </c>
      <c r="E41" s="105">
        <f>'Badou '!E20</f>
        <v>100</v>
      </c>
      <c r="F41" s="105">
        <f>'Badou '!F20</f>
        <v>90.549875656258635</v>
      </c>
      <c r="G41" s="105">
        <f>'Badou '!G20</f>
        <v>101.59690297604647</v>
      </c>
      <c r="H41" s="105">
        <f>'Badou '!H20</f>
        <v>94.018084859726414</v>
      </c>
      <c r="I41" s="105">
        <f>'Badou '!I20</f>
        <v>92.096412556053806</v>
      </c>
      <c r="J41" s="105">
        <f>'Badou '!J20</f>
        <v>64.164201183431956</v>
      </c>
      <c r="K41" s="105">
        <f>'Badou '!K20</f>
        <v>71.626297577854672</v>
      </c>
      <c r="L41" s="105">
        <f>'Badou '!L20</f>
        <v>86.333012512030791</v>
      </c>
      <c r="M41" s="105">
        <f>'Badou '!M20</f>
        <v>76.858345021037863</v>
      </c>
    </row>
  </sheetData>
  <mergeCells count="1">
    <mergeCell ref="A3:G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I8"/>
  <sheetViews>
    <sheetView topLeftCell="A13" zoomScale="85" zoomScaleNormal="85" workbookViewId="0">
      <selection activeCell="G41" sqref="G41"/>
    </sheetView>
  </sheetViews>
  <sheetFormatPr baseColWidth="10" defaultRowHeight="15" x14ac:dyDescent="0.25"/>
  <cols>
    <col min="3" max="3" width="11.28515625" bestFit="1" customWidth="1"/>
    <col min="4" max="4" width="10.7109375" customWidth="1"/>
    <col min="5" max="33" width="11.28515625" bestFit="1" customWidth="1"/>
    <col min="34" max="34" width="13.42578125" bestFit="1" customWidth="1"/>
  </cols>
  <sheetData>
    <row r="3" spans="2:35" x14ac:dyDescent="0.25">
      <c r="B3" s="112" t="s">
        <v>79</v>
      </c>
      <c r="C3" s="113">
        <v>45627</v>
      </c>
      <c r="D3" s="113">
        <v>45628</v>
      </c>
      <c r="E3" s="113">
        <v>45629</v>
      </c>
      <c r="F3" s="113">
        <v>45630</v>
      </c>
      <c r="G3" s="113">
        <v>45631</v>
      </c>
      <c r="H3" s="113">
        <v>45632</v>
      </c>
      <c r="I3" s="113">
        <v>45633</v>
      </c>
      <c r="J3" s="113">
        <v>45634</v>
      </c>
      <c r="K3" s="113">
        <v>45635</v>
      </c>
      <c r="L3" s="113">
        <v>45636</v>
      </c>
      <c r="M3" s="113">
        <v>45637</v>
      </c>
      <c r="N3" s="113">
        <v>45638</v>
      </c>
      <c r="O3" s="113">
        <v>45639</v>
      </c>
      <c r="P3" s="113">
        <v>45640</v>
      </c>
      <c r="Q3" s="113">
        <v>45641</v>
      </c>
      <c r="R3" s="113">
        <v>45642</v>
      </c>
      <c r="S3" s="113">
        <v>45643</v>
      </c>
      <c r="T3" s="113">
        <v>45644</v>
      </c>
      <c r="U3" s="113">
        <v>45645</v>
      </c>
      <c r="V3" s="113">
        <v>45646</v>
      </c>
      <c r="W3" s="113">
        <v>45647</v>
      </c>
      <c r="X3" s="113">
        <v>45648</v>
      </c>
      <c r="Y3" s="113">
        <v>45649</v>
      </c>
      <c r="Z3" s="113">
        <v>45650</v>
      </c>
      <c r="AA3" s="113">
        <v>45651</v>
      </c>
      <c r="AB3" s="113">
        <v>45652</v>
      </c>
      <c r="AC3" s="113">
        <v>45653</v>
      </c>
      <c r="AD3" s="113">
        <v>45654</v>
      </c>
      <c r="AE3" s="113">
        <v>45655</v>
      </c>
      <c r="AF3" s="113">
        <v>45656</v>
      </c>
      <c r="AG3" s="113">
        <v>45657</v>
      </c>
      <c r="AH3" s="112" t="s">
        <v>80</v>
      </c>
    </row>
    <row r="4" spans="2:35" x14ac:dyDescent="0.25">
      <c r="B4" s="112" t="s">
        <v>78</v>
      </c>
      <c r="C4" s="114">
        <v>8.9329999999999998</v>
      </c>
      <c r="D4" s="114">
        <v>12.884</v>
      </c>
      <c r="E4" s="114">
        <v>5.3579999999999997</v>
      </c>
      <c r="F4" s="114">
        <v>15.05</v>
      </c>
      <c r="G4" s="114">
        <v>1.9419999999999999</v>
      </c>
      <c r="H4" s="114">
        <v>10.429</v>
      </c>
      <c r="I4" s="114">
        <v>6.3869999999999996</v>
      </c>
      <c r="J4" s="114">
        <v>8.7769999999999992</v>
      </c>
      <c r="K4" s="114">
        <v>3.964</v>
      </c>
      <c r="L4" s="114">
        <v>7.5990000000000002</v>
      </c>
      <c r="M4" s="114">
        <v>13.813000000000001</v>
      </c>
      <c r="N4" s="114">
        <v>15.374000000000001</v>
      </c>
      <c r="O4" s="114">
        <v>9.1620000000000008</v>
      </c>
      <c r="P4" s="114">
        <v>11.064</v>
      </c>
      <c r="Q4" s="114">
        <v>14.585000000000001</v>
      </c>
      <c r="R4" s="114">
        <v>14.843</v>
      </c>
      <c r="S4" s="114">
        <v>8.6679999999999993</v>
      </c>
      <c r="T4" s="114">
        <v>5.024</v>
      </c>
      <c r="U4" s="114">
        <v>11.919</v>
      </c>
      <c r="V4" s="114">
        <v>10.343</v>
      </c>
      <c r="W4" s="114">
        <v>7.3380000000000001</v>
      </c>
      <c r="X4" s="114">
        <v>6.726</v>
      </c>
      <c r="Y4" s="114">
        <v>14.893000000000001</v>
      </c>
      <c r="Z4" s="114">
        <v>3.895</v>
      </c>
      <c r="AA4" s="114">
        <v>2.331</v>
      </c>
      <c r="AB4" s="114">
        <v>14.752000000000001</v>
      </c>
      <c r="AC4" s="114">
        <v>2.774</v>
      </c>
      <c r="AD4" s="114">
        <v>5.0970000000000004</v>
      </c>
      <c r="AE4" s="114">
        <v>5.8170000000000002</v>
      </c>
      <c r="AF4" s="114">
        <v>4.7969999999999997</v>
      </c>
      <c r="AG4" s="114">
        <v>11.23</v>
      </c>
      <c r="AH4" s="115">
        <f>SUM(C4:AG4)</f>
        <v>275.76800000000009</v>
      </c>
      <c r="AI4" s="108"/>
    </row>
    <row r="5" spans="2:35" x14ac:dyDescent="0.25">
      <c r="B5" s="112" t="s">
        <v>77</v>
      </c>
      <c r="C5" s="114">
        <v>10.435</v>
      </c>
      <c r="D5" s="114">
        <v>16.489000000000001</v>
      </c>
      <c r="E5" s="114">
        <v>5.4219999999999997</v>
      </c>
      <c r="F5" s="114">
        <v>19.823</v>
      </c>
      <c r="G5" s="114">
        <v>1.4359999999999999</v>
      </c>
      <c r="H5" s="114">
        <v>12.551</v>
      </c>
      <c r="I5" s="114">
        <v>7.1420000000000003</v>
      </c>
      <c r="J5" s="114">
        <v>10.265000000000001</v>
      </c>
      <c r="K5" s="114">
        <v>4.1180000000000003</v>
      </c>
      <c r="L5" s="114">
        <v>10.387</v>
      </c>
      <c r="M5" s="114">
        <v>17.417000000000002</v>
      </c>
      <c r="N5" s="114">
        <v>20.442</v>
      </c>
      <c r="O5" s="114">
        <v>11.695</v>
      </c>
      <c r="P5" s="114">
        <v>13.856999999999999</v>
      </c>
      <c r="Q5" s="114">
        <v>19.613</v>
      </c>
      <c r="R5" s="114">
        <v>19.620999999999999</v>
      </c>
      <c r="S5" s="114">
        <v>9.5739999999999998</v>
      </c>
      <c r="T5" s="114">
        <v>5.0679999999999996</v>
      </c>
      <c r="U5" s="114">
        <v>14.894</v>
      </c>
      <c r="V5" s="114">
        <v>13.013</v>
      </c>
      <c r="W5" s="114">
        <v>7.819</v>
      </c>
      <c r="X5" s="114">
        <v>7.25</v>
      </c>
      <c r="Y5" s="114">
        <v>10.36</v>
      </c>
      <c r="Z5" s="114">
        <v>3.7669999999999999</v>
      </c>
      <c r="AA5" s="114">
        <v>1.823</v>
      </c>
      <c r="AB5" s="114">
        <v>19.105</v>
      </c>
      <c r="AC5" s="114">
        <v>2.5259999999999998</v>
      </c>
      <c r="AD5" s="114">
        <v>4.3979999999999997</v>
      </c>
      <c r="AE5" s="114">
        <v>6.577</v>
      </c>
      <c r="AF5" s="114">
        <v>4.3959999999999999</v>
      </c>
      <c r="AG5" s="114">
        <v>14.845000000000001</v>
      </c>
      <c r="AH5" s="115">
        <f t="shared" ref="AH5:AH7" si="0">SUM(C5:AG5)</f>
        <v>326.1280000000001</v>
      </c>
      <c r="AI5" s="108"/>
    </row>
    <row r="6" spans="2:35" x14ac:dyDescent="0.25">
      <c r="B6" s="112" t="s">
        <v>76</v>
      </c>
      <c r="C6" s="114">
        <v>18.291</v>
      </c>
      <c r="D6" s="114">
        <v>23.501999999999999</v>
      </c>
      <c r="E6" s="114">
        <v>11.566000000000001</v>
      </c>
      <c r="F6" s="114">
        <v>28.704999999999998</v>
      </c>
      <c r="G6" s="114">
        <v>4.1790000000000003</v>
      </c>
      <c r="H6" s="114">
        <v>19.861000000000001</v>
      </c>
      <c r="I6" s="114">
        <v>12.653</v>
      </c>
      <c r="J6" s="114">
        <v>17.558</v>
      </c>
      <c r="K6" s="114">
        <v>8.2319999999999993</v>
      </c>
      <c r="L6" s="114">
        <v>14.573</v>
      </c>
      <c r="M6" s="114">
        <v>23.957000000000001</v>
      </c>
      <c r="N6" s="114">
        <v>26.931000000000001</v>
      </c>
      <c r="O6" s="114">
        <v>16.739000000000001</v>
      </c>
      <c r="P6" s="114">
        <v>22.03</v>
      </c>
      <c r="Q6" s="114">
        <v>25.436</v>
      </c>
      <c r="R6" s="114">
        <v>26.652999999999999</v>
      </c>
      <c r="S6" s="114">
        <v>16.114999999999998</v>
      </c>
      <c r="T6" s="114">
        <v>9.8740000000000006</v>
      </c>
      <c r="U6" s="114">
        <v>21.812000000000001</v>
      </c>
      <c r="V6" s="114">
        <v>19.14</v>
      </c>
      <c r="W6" s="114">
        <v>14.574999999999999</v>
      </c>
      <c r="X6" s="114">
        <v>13.433</v>
      </c>
      <c r="Y6" s="114">
        <v>26.053000000000001</v>
      </c>
      <c r="Z6" s="114">
        <v>8.4559999999999995</v>
      </c>
      <c r="AA6" s="114">
        <v>4.952</v>
      </c>
      <c r="AB6" s="114">
        <v>25.442</v>
      </c>
      <c r="AC6" s="114">
        <v>5.96</v>
      </c>
      <c r="AD6" s="114">
        <v>10.715999999999999</v>
      </c>
      <c r="AE6" s="114">
        <v>11.981999999999999</v>
      </c>
      <c r="AF6" s="114">
        <v>10.260999999999999</v>
      </c>
      <c r="AG6" s="114">
        <v>21.071999999999999</v>
      </c>
      <c r="AH6" s="115">
        <f t="shared" si="0"/>
        <v>520.70900000000006</v>
      </c>
      <c r="AI6" s="108"/>
    </row>
    <row r="7" spans="2:35" x14ac:dyDescent="0.25">
      <c r="B7" s="112" t="s">
        <v>44</v>
      </c>
      <c r="C7" s="114">
        <v>22.913</v>
      </c>
      <c r="D7" s="114">
        <v>41.619</v>
      </c>
      <c r="E7" s="114">
        <v>14.746</v>
      </c>
      <c r="F7" s="114">
        <v>48.427</v>
      </c>
      <c r="G7" s="114">
        <v>6.9610000000000003</v>
      </c>
      <c r="H7" s="114">
        <v>32.331000000000003</v>
      </c>
      <c r="I7" s="114">
        <v>17.902999999999999</v>
      </c>
      <c r="J7" s="114">
        <v>25.956</v>
      </c>
      <c r="K7" s="114">
        <v>11.255000000000001</v>
      </c>
      <c r="L7" s="114">
        <v>12.909000000000001</v>
      </c>
      <c r="M7" s="114">
        <v>33.006999999999998</v>
      </c>
      <c r="N7" s="114">
        <v>44.954000000000001</v>
      </c>
      <c r="O7" s="114">
        <v>20.414000000000001</v>
      </c>
      <c r="P7" s="114">
        <v>35.713999999999999</v>
      </c>
      <c r="Q7" s="114">
        <v>41.884999999999998</v>
      </c>
      <c r="R7" s="114">
        <v>45.381</v>
      </c>
      <c r="S7" s="114">
        <v>25.012</v>
      </c>
      <c r="T7" s="114">
        <v>11.292</v>
      </c>
      <c r="U7" s="114">
        <v>32.417000000000002</v>
      </c>
      <c r="V7" s="114">
        <v>31.864999999999998</v>
      </c>
      <c r="W7" s="114">
        <v>22.276</v>
      </c>
      <c r="X7" s="114">
        <v>19.690999999999999</v>
      </c>
      <c r="Y7" s="114">
        <v>42.956000000000003</v>
      </c>
      <c r="Z7" s="114">
        <v>11.294</v>
      </c>
      <c r="AA7" s="114">
        <v>7.2220000000000004</v>
      </c>
      <c r="AB7" s="114">
        <v>35.146999999999998</v>
      </c>
      <c r="AC7" s="114">
        <v>7.6769999999999996</v>
      </c>
      <c r="AD7" s="114">
        <v>17.765999999999998</v>
      </c>
      <c r="AE7" s="114">
        <v>19.899000000000001</v>
      </c>
      <c r="AF7" s="114">
        <v>14.236000000000001</v>
      </c>
      <c r="AG7" s="114">
        <v>32.47</v>
      </c>
      <c r="AH7" s="115">
        <f t="shared" si="0"/>
        <v>787.59500000000003</v>
      </c>
      <c r="AI7" s="108"/>
    </row>
    <row r="8" spans="2:35" x14ac:dyDescent="0.25"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</row>
  </sheetData>
  <conditionalFormatting sqref="C4:AG4">
    <cfRule type="expression" dxfId="3" priority="3">
      <formula>#REF!="NA"</formula>
    </cfRule>
    <cfRule type="notContainsBlanks" dxfId="2" priority="4">
      <formula>LEN(TRIM(C4))&gt;0</formula>
    </cfRule>
  </conditionalFormatting>
  <conditionalFormatting sqref="C5:AG5">
    <cfRule type="expression" dxfId="1" priority="1">
      <formula>#REF!="NA"</formula>
    </cfRule>
    <cfRule type="notContainsBlanks" dxfId="0" priority="2">
      <formula>LEN(TRIM(C5))&gt;0</formula>
    </cfRule>
  </conditionalFormatting>
  <pageMargins left="0.7" right="0.7" top="0.75" bottom="0.75" header="0.3" footer="0.3"/>
  <pageSetup paperSize="9" scale="8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workbookViewId="0">
      <selection activeCell="B9" sqref="B9"/>
    </sheetView>
  </sheetViews>
  <sheetFormatPr baseColWidth="10" defaultRowHeight="15" x14ac:dyDescent="0.25"/>
  <cols>
    <col min="1" max="1" width="9.5703125" bestFit="1" customWidth="1"/>
    <col min="2" max="2" width="4.140625" customWidth="1"/>
    <col min="3" max="7" width="9.85546875" bestFit="1" customWidth="1"/>
    <col min="8" max="33" width="10.140625" bestFit="1" customWidth="1"/>
  </cols>
  <sheetData>
    <row r="1" spans="1:33" x14ac:dyDescent="0.2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3" x14ac:dyDescent="0.25">
      <c r="A2" s="131"/>
      <c r="B2" s="131"/>
      <c r="C2" s="132" t="s">
        <v>89</v>
      </c>
      <c r="D2" s="132" t="s">
        <v>90</v>
      </c>
      <c r="E2" s="132" t="s">
        <v>91</v>
      </c>
      <c r="F2" s="132" t="s">
        <v>92</v>
      </c>
      <c r="G2" s="132" t="s">
        <v>93</v>
      </c>
      <c r="H2" s="132" t="s">
        <v>94</v>
      </c>
      <c r="I2" s="132" t="s">
        <v>95</v>
      </c>
      <c r="J2" s="132" t="s">
        <v>96</v>
      </c>
      <c r="K2" s="132" t="s">
        <v>97</v>
      </c>
      <c r="L2" s="132" t="s">
        <v>98</v>
      </c>
      <c r="M2" s="132" t="s">
        <v>99</v>
      </c>
      <c r="N2" s="132" t="s">
        <v>100</v>
      </c>
      <c r="O2" s="132" t="s">
        <v>101</v>
      </c>
      <c r="P2" s="132" t="s">
        <v>102</v>
      </c>
      <c r="Q2" s="132" t="s">
        <v>103</v>
      </c>
      <c r="R2" s="132" t="s">
        <v>104</v>
      </c>
      <c r="S2" s="132" t="s">
        <v>105</v>
      </c>
      <c r="T2" s="132" t="s">
        <v>106</v>
      </c>
      <c r="U2" s="132" t="s">
        <v>107</v>
      </c>
      <c r="V2" s="132" t="s">
        <v>108</v>
      </c>
      <c r="W2" s="132" t="s">
        <v>109</v>
      </c>
      <c r="X2" s="132" t="s">
        <v>110</v>
      </c>
      <c r="Y2" s="132" t="s">
        <v>111</v>
      </c>
      <c r="Z2" s="132" t="s">
        <v>112</v>
      </c>
      <c r="AA2" s="132" t="s">
        <v>113</v>
      </c>
      <c r="AB2" s="132" t="s">
        <v>114</v>
      </c>
      <c r="AC2" s="132" t="s">
        <v>115</v>
      </c>
      <c r="AD2" s="132" t="s">
        <v>116</v>
      </c>
      <c r="AE2" s="132" t="s">
        <v>117</v>
      </c>
      <c r="AF2" s="132" t="s">
        <v>118</v>
      </c>
      <c r="AG2" s="132" t="s">
        <v>119</v>
      </c>
    </row>
    <row r="3" spans="1:33" x14ac:dyDescent="0.25">
      <c r="A3" s="131" t="s">
        <v>42</v>
      </c>
      <c r="B3" s="131"/>
      <c r="C3" s="114">
        <v>3.5830000000000002</v>
      </c>
      <c r="D3" s="114">
        <v>1.171</v>
      </c>
      <c r="E3" s="114">
        <v>3.89</v>
      </c>
      <c r="F3" s="114">
        <v>1.859</v>
      </c>
      <c r="G3" s="114">
        <v>4.6040000000000001</v>
      </c>
      <c r="H3" s="114">
        <v>11.621</v>
      </c>
      <c r="I3" s="114">
        <v>4.7039999999999997</v>
      </c>
      <c r="J3" s="114">
        <v>2.8530000000000002</v>
      </c>
      <c r="K3" s="114">
        <v>12.548999999999999</v>
      </c>
      <c r="L3" s="114">
        <v>2.73</v>
      </c>
      <c r="M3" s="114">
        <v>10.877000000000001</v>
      </c>
      <c r="N3" s="114">
        <v>16.521999999999998</v>
      </c>
      <c r="O3" s="114">
        <v>19.279</v>
      </c>
      <c r="P3" s="114">
        <v>18.309999999999999</v>
      </c>
      <c r="Q3" s="114">
        <v>17.045000000000002</v>
      </c>
      <c r="R3" s="114">
        <v>8.3979999999999997</v>
      </c>
      <c r="S3" s="114">
        <v>18.559999999999999</v>
      </c>
      <c r="T3" s="114">
        <v>3.085</v>
      </c>
      <c r="U3" s="114">
        <v>18.050999999999998</v>
      </c>
      <c r="V3" s="114">
        <v>17.512</v>
      </c>
      <c r="W3" s="114">
        <v>8.8689999999999998</v>
      </c>
      <c r="X3" s="114">
        <v>6.1180000000000003</v>
      </c>
      <c r="Y3" s="114">
        <v>11.771000000000001</v>
      </c>
      <c r="Z3" s="114">
        <v>4.468</v>
      </c>
      <c r="AA3" s="114">
        <v>5.9980000000000002</v>
      </c>
      <c r="AB3" s="114">
        <v>3</v>
      </c>
      <c r="AC3" s="114">
        <v>9.1579999999999995</v>
      </c>
      <c r="AD3" s="114">
        <v>8.5530000000000008</v>
      </c>
      <c r="AE3" s="114">
        <v>3.3490000000000002</v>
      </c>
      <c r="AF3" s="114">
        <v>6.9189999999999996</v>
      </c>
      <c r="AG3" s="114">
        <v>14.834</v>
      </c>
    </row>
    <row r="4" spans="1:33" x14ac:dyDescent="0.25">
      <c r="A4" s="131" t="s">
        <v>77</v>
      </c>
      <c r="B4" s="131"/>
      <c r="C4" s="114">
        <v>3.4980000000000002</v>
      </c>
      <c r="D4" s="114">
        <v>0.69799999999999995</v>
      </c>
      <c r="E4" s="114">
        <v>3.536</v>
      </c>
      <c r="F4" s="114">
        <v>1.2869999999999999</v>
      </c>
      <c r="G4" s="114">
        <v>4.4029999999999996</v>
      </c>
      <c r="H4" s="114">
        <v>14.486000000000001</v>
      </c>
      <c r="I4" s="114">
        <v>4.5279999999999996</v>
      </c>
      <c r="J4" s="114">
        <v>2.4140000000000001</v>
      </c>
      <c r="K4" s="114">
        <v>15.077999999999999</v>
      </c>
      <c r="L4" s="114">
        <v>2.25</v>
      </c>
      <c r="M4" s="114">
        <v>9.9139999999999997</v>
      </c>
      <c r="N4" s="114">
        <v>20.414000000000001</v>
      </c>
      <c r="O4" s="114">
        <v>25.106000000000002</v>
      </c>
      <c r="P4" s="114">
        <v>23.821999999999999</v>
      </c>
      <c r="Q4" s="114">
        <v>21.986000000000001</v>
      </c>
      <c r="R4" s="114">
        <v>9.4570000000000007</v>
      </c>
      <c r="S4" s="114">
        <v>24.129000000000001</v>
      </c>
      <c r="T4" s="114">
        <v>2.5129999999999999</v>
      </c>
      <c r="U4" s="114">
        <v>20.46</v>
      </c>
      <c r="V4" s="114">
        <v>21.643999999999998</v>
      </c>
      <c r="W4" s="114">
        <v>9.6959999999999997</v>
      </c>
      <c r="X4" s="114">
        <v>6.7140000000000004</v>
      </c>
      <c r="Y4" s="114">
        <v>13.504</v>
      </c>
      <c r="Z4" s="114">
        <v>4.2539999999999996</v>
      </c>
      <c r="AA4" s="114">
        <v>5.9260000000000002</v>
      </c>
      <c r="AB4" s="114">
        <v>2.548</v>
      </c>
      <c r="AC4" s="114">
        <v>10.651999999999999</v>
      </c>
      <c r="AD4" s="114">
        <v>1.24</v>
      </c>
      <c r="AE4" s="114">
        <v>0</v>
      </c>
      <c r="AF4" s="114">
        <v>0</v>
      </c>
      <c r="AG4" s="114">
        <v>15.332000000000001</v>
      </c>
    </row>
    <row r="5" spans="1:33" x14ac:dyDescent="0.25">
      <c r="A5" s="131" t="s">
        <v>45</v>
      </c>
      <c r="B5" s="131"/>
      <c r="C5" s="114">
        <v>7.6280000000000001</v>
      </c>
      <c r="D5" s="114">
        <v>2.5630000000000002</v>
      </c>
      <c r="E5" s="114">
        <v>8.3629999999999995</v>
      </c>
      <c r="F5" s="114">
        <v>4.0149999999999997</v>
      </c>
      <c r="G5" s="114">
        <v>10.028</v>
      </c>
      <c r="H5" s="114">
        <v>21.067</v>
      </c>
      <c r="I5" s="114">
        <v>9.8309999999999995</v>
      </c>
      <c r="J5" s="114">
        <v>5.9630000000000001</v>
      </c>
      <c r="K5" s="114">
        <v>23.497</v>
      </c>
      <c r="L5" s="114">
        <v>5.9630000000000001</v>
      </c>
      <c r="M5" s="114">
        <v>18.838000000000001</v>
      </c>
      <c r="N5" s="114">
        <v>29.896999999999998</v>
      </c>
      <c r="O5" s="114">
        <v>34.338999999999999</v>
      </c>
      <c r="P5" s="114">
        <v>34.411999999999999</v>
      </c>
      <c r="Q5" s="114">
        <v>30.733000000000001</v>
      </c>
      <c r="R5" s="114">
        <v>16.733000000000001</v>
      </c>
      <c r="S5" s="114">
        <v>33.975000000000001</v>
      </c>
      <c r="T5" s="114">
        <v>6.6950000000000003</v>
      </c>
      <c r="U5" s="114">
        <v>36.155000000000001</v>
      </c>
      <c r="V5" s="114">
        <v>33.558999999999997</v>
      </c>
      <c r="W5" s="114">
        <v>18.882000000000001</v>
      </c>
      <c r="X5" s="114">
        <v>12.962</v>
      </c>
      <c r="Y5" s="114">
        <v>23.123999999999999</v>
      </c>
      <c r="Z5" s="114">
        <v>9.7089999999999996</v>
      </c>
      <c r="AA5" s="114">
        <v>12.382999999999999</v>
      </c>
      <c r="AB5" s="114">
        <v>6.5179999999999998</v>
      </c>
      <c r="AC5" s="114">
        <v>19.106999999999999</v>
      </c>
      <c r="AD5" s="114">
        <v>17.378</v>
      </c>
      <c r="AE5" s="114">
        <v>7.274</v>
      </c>
      <c r="AF5" s="114">
        <v>14.798</v>
      </c>
      <c r="AG5" s="114">
        <v>29.648</v>
      </c>
    </row>
    <row r="6" spans="1:33" x14ac:dyDescent="0.25">
      <c r="A6" s="131" t="s">
        <v>120</v>
      </c>
      <c r="B6" s="131"/>
      <c r="C6" s="114">
        <v>11.879</v>
      </c>
      <c r="D6" s="114">
        <v>4.391</v>
      </c>
      <c r="E6" s="114">
        <v>10.85</v>
      </c>
      <c r="F6" s="114">
        <v>5.4160000000000004</v>
      </c>
      <c r="G6" s="114">
        <v>13.266999999999999</v>
      </c>
      <c r="H6" s="114">
        <v>28.85</v>
      </c>
      <c r="I6" s="114">
        <v>15.598000000000001</v>
      </c>
      <c r="J6" s="114">
        <v>8.0079999999999991</v>
      </c>
      <c r="K6" s="114">
        <v>27.562000000000001</v>
      </c>
      <c r="L6" s="114">
        <v>8.93</v>
      </c>
      <c r="M6" s="114">
        <v>22.056999999999999</v>
      </c>
      <c r="N6" s="114">
        <v>37.500999999999998</v>
      </c>
      <c r="O6" s="114">
        <v>56.302</v>
      </c>
      <c r="P6" s="114">
        <v>56.683999999999997</v>
      </c>
      <c r="Q6" s="114">
        <v>52.542000000000002</v>
      </c>
      <c r="R6" s="114">
        <v>25.169</v>
      </c>
      <c r="S6" s="114">
        <v>55.152999999999999</v>
      </c>
      <c r="T6" s="114">
        <v>8.657</v>
      </c>
      <c r="U6" s="114">
        <v>46.948999999999998</v>
      </c>
      <c r="V6" s="114">
        <v>45.039000000000001</v>
      </c>
      <c r="W6" s="114">
        <v>25.565000000000001</v>
      </c>
      <c r="X6" s="114">
        <v>23.914000000000001</v>
      </c>
      <c r="Y6" s="114">
        <v>38.006999999999998</v>
      </c>
      <c r="Z6" s="114">
        <v>12.638</v>
      </c>
      <c r="AA6" s="114">
        <v>17.117000000000001</v>
      </c>
      <c r="AB6" s="114">
        <v>8.5679999999999996</v>
      </c>
      <c r="AC6" s="114">
        <v>26.353999999999999</v>
      </c>
      <c r="AD6" s="114">
        <v>23.757000000000001</v>
      </c>
      <c r="AE6" s="114">
        <v>9.4930000000000003</v>
      </c>
      <c r="AF6" s="114">
        <v>17.268999999999998</v>
      </c>
      <c r="AG6" s="114">
        <v>51.819000000000003</v>
      </c>
    </row>
    <row r="7" spans="1:33" x14ac:dyDescent="0.25">
      <c r="A7" s="117"/>
      <c r="B7" s="130"/>
      <c r="C7" s="130"/>
      <c r="D7" s="130"/>
      <c r="E7" s="130"/>
    </row>
    <row r="8" spans="1:33" x14ac:dyDescent="0.25">
      <c r="A8" s="117"/>
      <c r="B8" s="130"/>
      <c r="C8" s="130"/>
      <c r="D8" s="130"/>
      <c r="E8" s="130"/>
    </row>
    <row r="9" spans="1:33" x14ac:dyDescent="0.25">
      <c r="A9" s="117"/>
      <c r="B9" s="130"/>
      <c r="C9" s="130"/>
      <c r="D9" s="130"/>
      <c r="E9" s="130"/>
    </row>
    <row r="10" spans="1:33" x14ac:dyDescent="0.25">
      <c r="A10" s="117"/>
      <c r="B10" s="130"/>
      <c r="C10" s="130"/>
      <c r="D10" s="130"/>
      <c r="E10" s="130"/>
    </row>
    <row r="11" spans="1:33" x14ac:dyDescent="0.25">
      <c r="A11" s="117"/>
      <c r="B11" s="130"/>
      <c r="C11" s="130"/>
      <c r="D11" s="130"/>
      <c r="E11" s="130"/>
    </row>
    <row r="12" spans="1:33" x14ac:dyDescent="0.25">
      <c r="A12" s="117"/>
      <c r="B12" s="130"/>
      <c r="C12" s="130"/>
      <c r="D12" s="130"/>
      <c r="E12" s="130"/>
    </row>
    <row r="13" spans="1:33" x14ac:dyDescent="0.25">
      <c r="A13" s="117"/>
      <c r="B13" s="130"/>
      <c r="C13" s="130"/>
      <c r="D13" s="130"/>
      <c r="E13" s="130"/>
    </row>
    <row r="14" spans="1:33" x14ac:dyDescent="0.25">
      <c r="A14" s="117"/>
      <c r="B14" s="130"/>
      <c r="C14" s="130"/>
      <c r="D14" s="130"/>
      <c r="E14" s="130"/>
    </row>
    <row r="15" spans="1:33" x14ac:dyDescent="0.25">
      <c r="A15" s="117"/>
      <c r="B15" s="130"/>
      <c r="C15" s="130"/>
      <c r="D15" s="130"/>
      <c r="E15" s="130"/>
    </row>
    <row r="16" spans="1:33" x14ac:dyDescent="0.25">
      <c r="A16" s="117"/>
      <c r="B16" s="130"/>
      <c r="C16" s="130"/>
      <c r="D16" s="130"/>
      <c r="E16" s="130"/>
    </row>
    <row r="17" spans="1:5" x14ac:dyDescent="0.25">
      <c r="A17" s="117"/>
      <c r="B17" s="130"/>
      <c r="C17" s="130"/>
      <c r="D17" s="130"/>
      <c r="E17" s="130"/>
    </row>
    <row r="18" spans="1:5" x14ac:dyDescent="0.25">
      <c r="A18" s="117"/>
      <c r="B18" s="130"/>
      <c r="C18" s="130"/>
      <c r="D18" s="130"/>
      <c r="E18" s="130"/>
    </row>
    <row r="19" spans="1:5" x14ac:dyDescent="0.25">
      <c r="A19" s="117"/>
      <c r="B19" s="130"/>
      <c r="C19" s="130"/>
      <c r="D19" s="130"/>
      <c r="E19" s="130"/>
    </row>
    <row r="20" spans="1:5" x14ac:dyDescent="0.25">
      <c r="A20" s="117"/>
      <c r="B20" s="130"/>
      <c r="C20" s="130"/>
      <c r="D20" s="130"/>
      <c r="E20" s="130"/>
    </row>
    <row r="21" spans="1:5" x14ac:dyDescent="0.25">
      <c r="A21" s="117"/>
      <c r="B21" s="130"/>
      <c r="C21" s="130"/>
      <c r="D21" s="130"/>
      <c r="E21" s="130"/>
    </row>
    <row r="22" spans="1:5" x14ac:dyDescent="0.25">
      <c r="A22" s="117"/>
      <c r="B22" s="130"/>
      <c r="C22" s="130"/>
      <c r="D22" s="130"/>
      <c r="E22" s="130"/>
    </row>
    <row r="23" spans="1:5" x14ac:dyDescent="0.25">
      <c r="A23" s="117"/>
      <c r="B23" s="130"/>
      <c r="C23" s="130"/>
      <c r="D23" s="130"/>
      <c r="E23" s="130"/>
    </row>
    <row r="24" spans="1:5" x14ac:dyDescent="0.25">
      <c r="A24" s="117"/>
      <c r="B24" s="130"/>
      <c r="C24" s="130"/>
      <c r="D24" s="130"/>
      <c r="E24" s="130"/>
    </row>
    <row r="25" spans="1:5" x14ac:dyDescent="0.25">
      <c r="A25" s="117"/>
      <c r="B25" s="130"/>
      <c r="C25" s="130"/>
      <c r="D25" s="130"/>
      <c r="E25" s="130"/>
    </row>
    <row r="26" spans="1:5" x14ac:dyDescent="0.25">
      <c r="A26" s="117"/>
      <c r="B26" s="130"/>
      <c r="C26" s="130"/>
      <c r="D26" s="130"/>
      <c r="E26" s="130"/>
    </row>
    <row r="27" spans="1:5" x14ac:dyDescent="0.25">
      <c r="A27" s="117"/>
      <c r="B27" s="130"/>
      <c r="C27" s="130"/>
      <c r="D27" s="130"/>
      <c r="E27" s="130"/>
    </row>
    <row r="28" spans="1:5" x14ac:dyDescent="0.25">
      <c r="A28" s="117"/>
      <c r="B28" s="130"/>
      <c r="C28" s="130"/>
      <c r="D28" s="130"/>
      <c r="E28" s="130"/>
    </row>
    <row r="29" spans="1:5" x14ac:dyDescent="0.25">
      <c r="A29" s="117"/>
      <c r="B29" s="130"/>
      <c r="C29" s="130"/>
      <c r="D29" s="130"/>
      <c r="E29" s="130"/>
    </row>
    <row r="30" spans="1:5" x14ac:dyDescent="0.25">
      <c r="A30" s="117"/>
      <c r="B30" s="130"/>
      <c r="C30" s="130"/>
      <c r="D30" s="130"/>
      <c r="E30" s="130"/>
    </row>
    <row r="31" spans="1:5" x14ac:dyDescent="0.25">
      <c r="A31" s="117"/>
      <c r="B31" s="130"/>
      <c r="C31" s="130"/>
      <c r="D31" s="130"/>
      <c r="E31" s="130"/>
    </row>
    <row r="32" spans="1:5" x14ac:dyDescent="0.25">
      <c r="A32" s="117"/>
      <c r="B32" s="130"/>
      <c r="C32" s="130"/>
      <c r="D32" s="130"/>
      <c r="E32" s="130"/>
    </row>
    <row r="33" spans="1:5" x14ac:dyDescent="0.25">
      <c r="A33" s="117"/>
      <c r="B33" s="130"/>
      <c r="C33" s="130"/>
      <c r="D33" s="130"/>
      <c r="E33" s="130"/>
    </row>
    <row r="34" spans="1:5" x14ac:dyDescent="0.25">
      <c r="A34" s="117"/>
      <c r="B34" s="130"/>
      <c r="C34" s="130"/>
      <c r="D34" s="130"/>
      <c r="E34" s="130"/>
    </row>
  </sheetData>
  <dataConsolidate/>
  <pageMargins left="0.7" right="0.7" top="0.75" bottom="0.75" header="0.3" footer="0.3"/>
  <pageSetup paperSize="9" scale="8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SCI-SFPO</vt:lpstr>
      <vt:lpstr>Dolus </vt:lpstr>
      <vt:lpstr>La Josière</vt:lpstr>
      <vt:lpstr>Massé </vt:lpstr>
      <vt:lpstr>Badou </vt:lpstr>
      <vt:lpstr>chiffre d'affaires</vt:lpstr>
      <vt:lpstr>comparaison des productions</vt:lpstr>
      <vt:lpstr>comparaison décembre 2024</vt:lpstr>
      <vt:lpstr>comparaison janvier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</dc:creator>
  <cp:lastModifiedBy>Mathe</cp:lastModifiedBy>
  <dcterms:created xsi:type="dcterms:W3CDTF">2021-12-18T21:13:47Z</dcterms:created>
  <dcterms:modified xsi:type="dcterms:W3CDTF">2025-02-07T19:39:16Z</dcterms:modified>
</cp:coreProperties>
</file>